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5600" windowHeight="7515" tabRatio="873"/>
  </bookViews>
  <sheets>
    <sheet name="for Dist." sheetId="1" r:id="rId1"/>
    <sheet name="diff price-1500" sheetId="4" r:id="rId2"/>
    <sheet name="price-1500 without partner" sheetId="21" r:id="rId3"/>
    <sheet name="diff price-54000" sheetId="19" r:id="rId4"/>
    <sheet name="price-5400 without partner" sheetId="22" r:id="rId5"/>
    <sheet name="Formula" sheetId="16" r:id="rId6"/>
    <sheet name="nEWS" sheetId="10" r:id="rId7"/>
    <sheet name="summary" sheetId="13" r:id="rId8"/>
    <sheet name="1st year" sheetId="5" r:id="rId9"/>
    <sheet name="Sheet3" sheetId="3" r:id="rId10"/>
    <sheet name="Training costing" sheetId="2" r:id="rId11"/>
    <sheet name="Sheet4" sheetId="6" r:id="rId12"/>
    <sheet name="ROI Target" sheetId="7" r:id="rId13"/>
    <sheet name="Sheet1" sheetId="9" r:id="rId14"/>
    <sheet name="testing" sheetId="11" r:id="rId15"/>
  </sheets>
  <externalReferences>
    <externalReference r:id="rId16"/>
  </externalReferences>
  <definedNames>
    <definedName name="_xlnm.Print_Area" localSheetId="1">'diff price-1500'!$A$1:$X$97</definedName>
    <definedName name="_xlnm.Print_Area" localSheetId="6">nEWS!$A$1:$AB$117</definedName>
    <definedName name="_xlnm.Print_Area" localSheetId="2">'price-1500 without partner'!$A$1:$X$97</definedName>
    <definedName name="_xlnm.Print_Area" localSheetId="4">'price-5400 without partner'!$A$1:$X$97</definedName>
    <definedName name="_xlnm.Print_Area" localSheetId="14">testing!$A$1:$AD$123</definedName>
  </definedNames>
  <calcPr calcId="145621"/>
</workbook>
</file>

<file path=xl/calcChain.xml><?xml version="1.0" encoding="utf-8"?>
<calcChain xmlns="http://schemas.openxmlformats.org/spreadsheetml/2006/main">
  <c r="D27" i="4" l="1"/>
  <c r="N83" i="22" l="1"/>
  <c r="U80" i="22"/>
  <c r="R80" i="22"/>
  <c r="S80" i="22" s="1"/>
  <c r="Q79" i="22"/>
  <c r="P79" i="22"/>
  <c r="O79" i="22"/>
  <c r="R78" i="22"/>
  <c r="O78" i="22"/>
  <c r="C78" i="22"/>
  <c r="G78" i="22" s="1"/>
  <c r="T78" i="22" s="1"/>
  <c r="C77" i="22"/>
  <c r="C73" i="22"/>
  <c r="F73" i="22" s="1"/>
  <c r="C72" i="22"/>
  <c r="F72" i="22" s="1"/>
  <c r="C71" i="22"/>
  <c r="F71" i="22" s="1"/>
  <c r="U70" i="22"/>
  <c r="R70" i="22"/>
  <c r="S70" i="22" s="1"/>
  <c r="C69" i="22"/>
  <c r="R68" i="22"/>
  <c r="O68" i="22"/>
  <c r="C68" i="22"/>
  <c r="F68" i="22" s="1"/>
  <c r="H68" i="22" s="1"/>
  <c r="C67" i="22"/>
  <c r="I66" i="22"/>
  <c r="P66" i="22" s="1"/>
  <c r="F66" i="22"/>
  <c r="D66" i="22"/>
  <c r="E66" i="22" s="1"/>
  <c r="C59" i="22"/>
  <c r="C58" i="22"/>
  <c r="L57" i="22"/>
  <c r="C57" i="22"/>
  <c r="C56" i="22"/>
  <c r="C55" i="22"/>
  <c r="L54" i="22"/>
  <c r="C54" i="22"/>
  <c r="C51" i="22"/>
  <c r="C50" i="22"/>
  <c r="L49" i="22"/>
  <c r="C49" i="22"/>
  <c r="D49" i="22" s="1"/>
  <c r="M49" i="22" s="1"/>
  <c r="N42" i="22"/>
  <c r="C37" i="22"/>
  <c r="C36" i="22"/>
  <c r="I36" i="22" s="1"/>
  <c r="C32" i="22"/>
  <c r="F32" i="22" s="1"/>
  <c r="P32" i="22" s="1"/>
  <c r="C31" i="22"/>
  <c r="F31" i="22" s="1"/>
  <c r="P31" i="22" s="1"/>
  <c r="C30" i="22"/>
  <c r="F30" i="22" s="1"/>
  <c r="C28" i="22"/>
  <c r="C27" i="22"/>
  <c r="G27" i="22" s="1"/>
  <c r="P26" i="22"/>
  <c r="C26" i="22"/>
  <c r="S25" i="22"/>
  <c r="P25" i="22"/>
  <c r="I25" i="22"/>
  <c r="F25" i="22"/>
  <c r="E25" i="22"/>
  <c r="D25" i="22"/>
  <c r="C17" i="22"/>
  <c r="C16" i="22"/>
  <c r="L15" i="22"/>
  <c r="O15" i="22" s="1"/>
  <c r="R15" i="22" s="1"/>
  <c r="S15" i="22" s="1"/>
  <c r="I15" i="22"/>
  <c r="F15" i="22"/>
  <c r="C15" i="22"/>
  <c r="C13" i="22"/>
  <c r="C12" i="22"/>
  <c r="L11" i="22"/>
  <c r="O11" i="22" s="1"/>
  <c r="I11" i="22"/>
  <c r="C11" i="22"/>
  <c r="C8" i="22"/>
  <c r="C7" i="22"/>
  <c r="L6" i="22"/>
  <c r="R6" i="22" s="1"/>
  <c r="S6" i="22" s="1"/>
  <c r="I6" i="22"/>
  <c r="C6" i="22"/>
  <c r="R4" i="22"/>
  <c r="R27" i="22" s="1"/>
  <c r="O4" i="22"/>
  <c r="O37" i="22" s="1"/>
  <c r="O73" i="21"/>
  <c r="O72" i="21"/>
  <c r="O71" i="21"/>
  <c r="P69" i="21"/>
  <c r="Q69" i="21"/>
  <c r="O69" i="21"/>
  <c r="F68" i="21"/>
  <c r="P68" i="21" s="1"/>
  <c r="P67" i="21"/>
  <c r="O67" i="21"/>
  <c r="Q67" i="21" s="1"/>
  <c r="F36" i="21"/>
  <c r="I25" i="21"/>
  <c r="G25" i="21"/>
  <c r="F25" i="21"/>
  <c r="F15" i="21"/>
  <c r="O32" i="21"/>
  <c r="O31" i="21"/>
  <c r="O30" i="21"/>
  <c r="P28" i="21"/>
  <c r="O28" i="21"/>
  <c r="Q28" i="21" s="1"/>
  <c r="Q26" i="21"/>
  <c r="O26" i="21"/>
  <c r="P26" i="21"/>
  <c r="I6" i="21"/>
  <c r="R80" i="21"/>
  <c r="S80" i="21" s="1"/>
  <c r="Q79" i="21"/>
  <c r="O79" i="21"/>
  <c r="P79" i="21" s="1"/>
  <c r="R78" i="21"/>
  <c r="O78" i="21"/>
  <c r="C78" i="21"/>
  <c r="G78" i="21" s="1"/>
  <c r="C77" i="21"/>
  <c r="F77" i="21" s="1"/>
  <c r="C73" i="21"/>
  <c r="F73" i="21" s="1"/>
  <c r="P73" i="21" s="1"/>
  <c r="C72" i="21"/>
  <c r="F72" i="21" s="1"/>
  <c r="P72" i="21" s="1"/>
  <c r="C71" i="21"/>
  <c r="F71" i="21" s="1"/>
  <c r="R70" i="21"/>
  <c r="C69" i="21"/>
  <c r="R68" i="21"/>
  <c r="O68" i="21"/>
  <c r="C68" i="21"/>
  <c r="G68" i="21" s="1"/>
  <c r="C67" i="21"/>
  <c r="I66" i="21"/>
  <c r="S66" i="21" s="1"/>
  <c r="F66" i="21"/>
  <c r="D66" i="21"/>
  <c r="E66" i="21" s="1"/>
  <c r="C59" i="21"/>
  <c r="C58" i="21"/>
  <c r="R57" i="21"/>
  <c r="O57" i="21"/>
  <c r="L57" i="21"/>
  <c r="F57" i="21"/>
  <c r="C57" i="21"/>
  <c r="D57" i="21" s="1"/>
  <c r="M57" i="21" s="1"/>
  <c r="C56" i="21"/>
  <c r="C55" i="21"/>
  <c r="R54" i="21"/>
  <c r="O54" i="21"/>
  <c r="L54" i="21"/>
  <c r="I54" i="21"/>
  <c r="C54" i="21"/>
  <c r="D54" i="21" s="1"/>
  <c r="C51" i="21"/>
  <c r="C50" i="21"/>
  <c r="R49" i="21"/>
  <c r="O49" i="21"/>
  <c r="L49" i="21"/>
  <c r="I49" i="21"/>
  <c r="C49" i="21"/>
  <c r="N49" i="21" s="1"/>
  <c r="C37" i="21"/>
  <c r="Q37" i="21" s="1"/>
  <c r="C36" i="21"/>
  <c r="G36" i="21" s="1"/>
  <c r="C32" i="21"/>
  <c r="C31" i="21"/>
  <c r="F31" i="21" s="1"/>
  <c r="P31" i="21" s="1"/>
  <c r="C30" i="21"/>
  <c r="F30" i="21" s="1"/>
  <c r="P30" i="21" s="1"/>
  <c r="C28" i="21"/>
  <c r="C27" i="21"/>
  <c r="I27" i="21" s="1"/>
  <c r="C26" i="21"/>
  <c r="S25" i="21"/>
  <c r="P25" i="21"/>
  <c r="D25" i="21"/>
  <c r="E25" i="21" s="1"/>
  <c r="C17" i="21"/>
  <c r="C16" i="21"/>
  <c r="O15" i="21"/>
  <c r="R15" i="21" s="1"/>
  <c r="S15" i="21" s="1"/>
  <c r="L15" i="21"/>
  <c r="I15" i="21"/>
  <c r="C15" i="21"/>
  <c r="D15" i="21" s="1"/>
  <c r="M15" i="21" s="1"/>
  <c r="C13" i="21"/>
  <c r="C12" i="21"/>
  <c r="L11" i="21"/>
  <c r="I11" i="21"/>
  <c r="C11" i="21"/>
  <c r="N11" i="21" s="1"/>
  <c r="C8" i="21"/>
  <c r="C7" i="21"/>
  <c r="O6" i="21"/>
  <c r="L6" i="21"/>
  <c r="R6" i="21" s="1"/>
  <c r="C6" i="21"/>
  <c r="N6" i="21" s="1"/>
  <c r="R4" i="21"/>
  <c r="R37" i="21" s="1"/>
  <c r="O4" i="21"/>
  <c r="L27" i="4"/>
  <c r="L26" i="4"/>
  <c r="R4" i="4"/>
  <c r="O4" i="4"/>
  <c r="F32" i="21" l="1"/>
  <c r="P32" i="21" s="1"/>
  <c r="F6" i="21"/>
  <c r="N57" i="21"/>
  <c r="N60" i="21" s="1"/>
  <c r="F11" i="21"/>
  <c r="D49" i="21"/>
  <c r="H36" i="21"/>
  <c r="H68" i="21"/>
  <c r="N54" i="21"/>
  <c r="I57" i="21"/>
  <c r="S57" i="21" s="1"/>
  <c r="I68" i="21"/>
  <c r="S68" i="21" s="1"/>
  <c r="F49" i="21"/>
  <c r="P49" i="21" s="1"/>
  <c r="Q68" i="21"/>
  <c r="G36" i="22"/>
  <c r="Q71" i="21"/>
  <c r="P71" i="21"/>
  <c r="Q32" i="21"/>
  <c r="D6" i="21"/>
  <c r="E6" i="21" s="1"/>
  <c r="G6" i="21" s="1"/>
  <c r="Q27" i="21"/>
  <c r="I37" i="21"/>
  <c r="G77" i="21"/>
  <c r="F54" i="21"/>
  <c r="P54" i="21" s="1"/>
  <c r="G27" i="21"/>
  <c r="F27" i="21"/>
  <c r="F37" i="21"/>
  <c r="P37" i="21" s="1"/>
  <c r="H77" i="21"/>
  <c r="Q78" i="21"/>
  <c r="F27" i="22"/>
  <c r="P27" i="22" s="1"/>
  <c r="S49" i="21"/>
  <c r="S60" i="21" s="1"/>
  <c r="S54" i="21"/>
  <c r="G37" i="21"/>
  <c r="D11" i="21"/>
  <c r="M11" i="21" s="1"/>
  <c r="H37" i="21"/>
  <c r="F11" i="22"/>
  <c r="P11" i="22" s="1"/>
  <c r="P68" i="22"/>
  <c r="I57" i="22"/>
  <c r="R29" i="22"/>
  <c r="U29" i="22" s="1"/>
  <c r="O6" i="22"/>
  <c r="O38" i="22"/>
  <c r="P38" i="22" s="1"/>
  <c r="L18" i="22"/>
  <c r="O26" i="22"/>
  <c r="Q26" i="22" s="1"/>
  <c r="O27" i="22"/>
  <c r="R39" i="22"/>
  <c r="U39" i="22" s="1"/>
  <c r="U68" i="22"/>
  <c r="U25" i="22"/>
  <c r="M25" i="22"/>
  <c r="M42" i="22" s="1"/>
  <c r="G25" i="22"/>
  <c r="G37" i="22"/>
  <c r="N57" i="22"/>
  <c r="D57" i="22"/>
  <c r="M57" i="22" s="1"/>
  <c r="P15" i="22"/>
  <c r="P30" i="22"/>
  <c r="F37" i="22"/>
  <c r="P37" i="22" s="1"/>
  <c r="N54" i="22"/>
  <c r="D54" i="22"/>
  <c r="M54" i="22" s="1"/>
  <c r="M60" i="22" s="1"/>
  <c r="D6" i="22"/>
  <c r="M6" i="22" s="1"/>
  <c r="N6" i="22"/>
  <c r="E6" i="22"/>
  <c r="D11" i="22"/>
  <c r="M11" i="22" s="1"/>
  <c r="N11" i="22"/>
  <c r="D15" i="22"/>
  <c r="M15" i="22" s="1"/>
  <c r="N15" i="22"/>
  <c r="H27" i="22"/>
  <c r="O30" i="22"/>
  <c r="Q30" i="22" s="1"/>
  <c r="I37" i="22"/>
  <c r="R49" i="22"/>
  <c r="O49" i="22"/>
  <c r="F6" i="22"/>
  <c r="T27" i="22"/>
  <c r="S29" i="22"/>
  <c r="Q38" i="22"/>
  <c r="R54" i="22"/>
  <c r="O54" i="22"/>
  <c r="Q78" i="22"/>
  <c r="O31" i="22"/>
  <c r="Q31" i="22" s="1"/>
  <c r="O32" i="22"/>
  <c r="Q32" i="22" s="1"/>
  <c r="R11" i="22"/>
  <c r="S11" i="22" s="1"/>
  <c r="S18" i="22" s="1"/>
  <c r="Q37" i="22"/>
  <c r="Q27" i="22"/>
  <c r="O28" i="22"/>
  <c r="R37" i="22"/>
  <c r="G77" i="22"/>
  <c r="F77" i="22"/>
  <c r="H77" i="22" s="1"/>
  <c r="J77" i="22" s="1"/>
  <c r="H25" i="22"/>
  <c r="J25" i="22" s="1"/>
  <c r="N49" i="22"/>
  <c r="E49" i="22"/>
  <c r="R57" i="22"/>
  <c r="O57" i="22"/>
  <c r="O69" i="22" s="1"/>
  <c r="H66" i="22"/>
  <c r="M66" i="22"/>
  <c r="M83" i="22" s="1"/>
  <c r="U66" i="22"/>
  <c r="I77" i="22"/>
  <c r="Q68" i="22"/>
  <c r="I27" i="22"/>
  <c r="S27" i="22" s="1"/>
  <c r="F36" i="22"/>
  <c r="H36" i="22" s="1"/>
  <c r="J36" i="22" s="1"/>
  <c r="F49" i="22"/>
  <c r="F54" i="22"/>
  <c r="F57" i="22"/>
  <c r="S66" i="22"/>
  <c r="G68" i="22"/>
  <c r="T68" i="22" s="1"/>
  <c r="T83" i="22" s="1"/>
  <c r="F78" i="22"/>
  <c r="I68" i="22"/>
  <c r="S68" i="22" s="1"/>
  <c r="I49" i="22"/>
  <c r="S49" i="22" s="1"/>
  <c r="I54" i="22"/>
  <c r="I78" i="22"/>
  <c r="S78" i="22" s="1"/>
  <c r="Q73" i="21"/>
  <c r="Q72" i="21"/>
  <c r="Q31" i="21"/>
  <c r="Q30" i="21"/>
  <c r="P6" i="21"/>
  <c r="E57" i="21"/>
  <c r="G57" i="21" s="1"/>
  <c r="T57" i="21" s="1"/>
  <c r="U66" i="21"/>
  <c r="M66" i="21"/>
  <c r="H66" i="21"/>
  <c r="S6" i="21"/>
  <c r="R29" i="21"/>
  <c r="U25" i="21"/>
  <c r="M25" i="21"/>
  <c r="H25" i="21"/>
  <c r="J25" i="21" s="1"/>
  <c r="I77" i="21"/>
  <c r="L18" i="21"/>
  <c r="I36" i="21"/>
  <c r="P66" i="21"/>
  <c r="O38" i="21"/>
  <c r="O27" i="21"/>
  <c r="O37" i="21"/>
  <c r="O11" i="21"/>
  <c r="R27" i="21"/>
  <c r="S27" i="21" s="1"/>
  <c r="P57" i="21"/>
  <c r="N83" i="21"/>
  <c r="I78" i="21"/>
  <c r="S78" i="21" s="1"/>
  <c r="F78" i="21"/>
  <c r="P78" i="21" s="1"/>
  <c r="N15" i="21"/>
  <c r="N18" i="21" s="1"/>
  <c r="E15" i="21"/>
  <c r="P15" i="21"/>
  <c r="R39" i="21"/>
  <c r="S37" i="21"/>
  <c r="S70" i="21"/>
  <c r="U70" i="21"/>
  <c r="U80" i="21"/>
  <c r="O57" i="19"/>
  <c r="O54" i="19"/>
  <c r="R57" i="19"/>
  <c r="R54" i="19"/>
  <c r="R49" i="19"/>
  <c r="O49" i="19"/>
  <c r="R47" i="19"/>
  <c r="R78" i="19" s="1"/>
  <c r="O47" i="19"/>
  <c r="O78" i="19" s="1"/>
  <c r="R6" i="4"/>
  <c r="O6" i="4"/>
  <c r="O57" i="4"/>
  <c r="R80" i="19"/>
  <c r="S80" i="19" s="1"/>
  <c r="P79" i="19"/>
  <c r="O79" i="19"/>
  <c r="Q79" i="19" s="1"/>
  <c r="L78" i="19"/>
  <c r="C78" i="19"/>
  <c r="N78" i="19" s="1"/>
  <c r="C77" i="19"/>
  <c r="I77" i="19" s="1"/>
  <c r="C73" i="19"/>
  <c r="C72" i="19"/>
  <c r="C71" i="19"/>
  <c r="R70" i="19"/>
  <c r="S70" i="19" s="1"/>
  <c r="C69" i="19"/>
  <c r="R68" i="19"/>
  <c r="O68" i="19"/>
  <c r="L68" i="19"/>
  <c r="C68" i="19"/>
  <c r="D57" i="19" s="1"/>
  <c r="C67" i="19"/>
  <c r="S66" i="19"/>
  <c r="I66" i="19"/>
  <c r="P66" i="19" s="1"/>
  <c r="F66" i="19"/>
  <c r="E66" i="19"/>
  <c r="D66" i="19"/>
  <c r="C59" i="19"/>
  <c r="C58" i="19"/>
  <c r="L57" i="19"/>
  <c r="L69" i="19" s="1"/>
  <c r="M69" i="19" s="1"/>
  <c r="C57" i="19"/>
  <c r="C56" i="19"/>
  <c r="C55" i="19"/>
  <c r="L54" i="19"/>
  <c r="L67" i="19" s="1"/>
  <c r="M67" i="19" s="1"/>
  <c r="C54" i="19"/>
  <c r="C51" i="19"/>
  <c r="C50" i="19"/>
  <c r="L49" i="19"/>
  <c r="C49" i="19"/>
  <c r="N49" i="19" s="1"/>
  <c r="L37" i="19"/>
  <c r="F37" i="19"/>
  <c r="D37" i="19"/>
  <c r="M37" i="19" s="1"/>
  <c r="C37" i="19"/>
  <c r="N37" i="19" s="1"/>
  <c r="C36" i="19"/>
  <c r="I36" i="19" s="1"/>
  <c r="C32" i="19"/>
  <c r="C31" i="19"/>
  <c r="C30" i="19"/>
  <c r="C28" i="19"/>
  <c r="R27" i="19"/>
  <c r="L27" i="19"/>
  <c r="C27" i="19"/>
  <c r="N27" i="19" s="1"/>
  <c r="C26" i="19"/>
  <c r="S25" i="19"/>
  <c r="I25" i="19"/>
  <c r="P25" i="19" s="1"/>
  <c r="G25" i="19"/>
  <c r="F25" i="19"/>
  <c r="E25" i="19"/>
  <c r="D25" i="19"/>
  <c r="C17" i="19"/>
  <c r="C16" i="19"/>
  <c r="L15" i="19"/>
  <c r="I15" i="19"/>
  <c r="F15" i="19"/>
  <c r="D15" i="19"/>
  <c r="M15" i="19" s="1"/>
  <c r="C15" i="19"/>
  <c r="E15" i="19" s="1"/>
  <c r="G15" i="19" s="1"/>
  <c r="C13" i="19"/>
  <c r="C12" i="19"/>
  <c r="L11" i="19"/>
  <c r="L32" i="19" s="1"/>
  <c r="I11" i="19"/>
  <c r="F11" i="19"/>
  <c r="C11" i="19"/>
  <c r="C8" i="19"/>
  <c r="C7" i="19"/>
  <c r="L6" i="19"/>
  <c r="O6" i="19" s="1"/>
  <c r="P6" i="19" s="1"/>
  <c r="I6" i="19"/>
  <c r="F6" i="19"/>
  <c r="C6" i="19"/>
  <c r="R4" i="19"/>
  <c r="R37" i="19" s="1"/>
  <c r="O4" i="19"/>
  <c r="O37" i="19" s="1"/>
  <c r="R57" i="4"/>
  <c r="O54" i="4"/>
  <c r="R54" i="4"/>
  <c r="O49" i="4"/>
  <c r="R49" i="4"/>
  <c r="I6" i="4"/>
  <c r="C59" i="4"/>
  <c r="C58" i="4"/>
  <c r="I25" i="4"/>
  <c r="F25" i="4"/>
  <c r="D25" i="4"/>
  <c r="E25" i="4" s="1"/>
  <c r="L57" i="4"/>
  <c r="L73" i="4" s="1"/>
  <c r="L54" i="4"/>
  <c r="L49" i="4"/>
  <c r="L72" i="4"/>
  <c r="L71" i="4"/>
  <c r="C13" i="4"/>
  <c r="C51" i="4"/>
  <c r="I15" i="4"/>
  <c r="F15" i="4"/>
  <c r="D15" i="4"/>
  <c r="I11" i="4"/>
  <c r="F11" i="4"/>
  <c r="F6" i="4"/>
  <c r="L11" i="4"/>
  <c r="O11" i="4" s="1"/>
  <c r="R11" i="4" s="1"/>
  <c r="L15" i="4"/>
  <c r="L32" i="4" s="1"/>
  <c r="L6" i="4"/>
  <c r="C15" i="4"/>
  <c r="E15" i="4" s="1"/>
  <c r="G15" i="4" s="1"/>
  <c r="H15" i="4" s="1"/>
  <c r="P25" i="4"/>
  <c r="C17" i="4"/>
  <c r="C8" i="4"/>
  <c r="E57" i="19" l="1"/>
  <c r="G57" i="19" s="1"/>
  <c r="D77" i="19"/>
  <c r="E77" i="19" s="1"/>
  <c r="H77" i="19" s="1"/>
  <c r="Q57" i="21"/>
  <c r="F36" i="19"/>
  <c r="F78" i="19"/>
  <c r="P78" i="19" s="1"/>
  <c r="M6" i="21"/>
  <c r="M18" i="21" s="1"/>
  <c r="M20" i="21" s="1"/>
  <c r="P60" i="21"/>
  <c r="S83" i="22"/>
  <c r="E11" i="22"/>
  <c r="H27" i="21"/>
  <c r="J27" i="21" s="1"/>
  <c r="P27" i="21"/>
  <c r="P42" i="21" s="1"/>
  <c r="F77" i="19"/>
  <c r="H6" i="21"/>
  <c r="J6" i="21" s="1"/>
  <c r="H37" i="22"/>
  <c r="U37" i="22" s="1"/>
  <c r="H78" i="21"/>
  <c r="D36" i="19"/>
  <c r="D78" i="19"/>
  <c r="E78" i="19" s="1"/>
  <c r="S83" i="21"/>
  <c r="J68" i="22"/>
  <c r="J37" i="21"/>
  <c r="P57" i="22"/>
  <c r="P6" i="22"/>
  <c r="P18" i="22" s="1"/>
  <c r="S39" i="22"/>
  <c r="T37" i="22"/>
  <c r="T42" i="22" s="1"/>
  <c r="S37" i="22"/>
  <c r="Q49" i="22"/>
  <c r="G49" i="22"/>
  <c r="T49" i="22" s="1"/>
  <c r="O67" i="22"/>
  <c r="O73" i="22"/>
  <c r="O71" i="22"/>
  <c r="O72" i="22"/>
  <c r="Q11" i="22"/>
  <c r="Q6" i="22"/>
  <c r="G6" i="22"/>
  <c r="T6" i="22" s="1"/>
  <c r="P78" i="22"/>
  <c r="H78" i="22"/>
  <c r="S54" i="22"/>
  <c r="S60" i="22" s="1"/>
  <c r="P49" i="22"/>
  <c r="Q69" i="22"/>
  <c r="P69" i="22"/>
  <c r="M18" i="22"/>
  <c r="E54" i="22"/>
  <c r="E57" i="22"/>
  <c r="P28" i="22"/>
  <c r="P42" i="22" s="1"/>
  <c r="Q28" i="22"/>
  <c r="Q42" i="22" s="1"/>
  <c r="U27" i="22"/>
  <c r="J27" i="22"/>
  <c r="S57" i="22"/>
  <c r="P54" i="22"/>
  <c r="G66" i="22"/>
  <c r="J66" i="22" s="1"/>
  <c r="N60" i="22"/>
  <c r="M62" i="22" s="1"/>
  <c r="E15" i="22"/>
  <c r="N18" i="22"/>
  <c r="P83" i="21"/>
  <c r="J77" i="21"/>
  <c r="J36" i="21"/>
  <c r="G25" i="4"/>
  <c r="H25" i="4" s="1"/>
  <c r="J25" i="4" s="1"/>
  <c r="H57" i="21"/>
  <c r="U57" i="21" s="1"/>
  <c r="S42" i="21"/>
  <c r="J57" i="21"/>
  <c r="Q42" i="21"/>
  <c r="R11" i="21"/>
  <c r="S11" i="21" s="1"/>
  <c r="S18" i="21" s="1"/>
  <c r="P11" i="21"/>
  <c r="P18" i="21" s="1"/>
  <c r="M54" i="21"/>
  <c r="E54" i="21"/>
  <c r="G66" i="21"/>
  <c r="J66" i="21" s="1"/>
  <c r="S39" i="21"/>
  <c r="U39" i="21"/>
  <c r="Q15" i="21"/>
  <c r="G15" i="21"/>
  <c r="T15" i="21" s="1"/>
  <c r="N42" i="21"/>
  <c r="N88" i="21" s="1"/>
  <c r="M42" i="21"/>
  <c r="P38" i="21"/>
  <c r="Q38" i="21"/>
  <c r="E11" i="21"/>
  <c r="M83" i="21"/>
  <c r="S29" i="21"/>
  <c r="U29" i="21"/>
  <c r="M49" i="21"/>
  <c r="E49" i="21"/>
  <c r="G49" i="21" s="1"/>
  <c r="T27" i="21"/>
  <c r="U80" i="19"/>
  <c r="R39" i="19"/>
  <c r="P37" i="19"/>
  <c r="L71" i="19"/>
  <c r="N54" i="19"/>
  <c r="N57" i="19"/>
  <c r="L73" i="19"/>
  <c r="M73" i="19" s="1"/>
  <c r="T57" i="19"/>
  <c r="L72" i="19"/>
  <c r="M78" i="19"/>
  <c r="M32" i="19"/>
  <c r="N32" i="19"/>
  <c r="L31" i="19"/>
  <c r="F68" i="19"/>
  <c r="P68" i="19" s="1"/>
  <c r="P83" i="19" s="1"/>
  <c r="D68" i="19"/>
  <c r="M68" i="19" s="1"/>
  <c r="I57" i="19"/>
  <c r="S57" i="19" s="1"/>
  <c r="I54" i="19"/>
  <c r="I49" i="19"/>
  <c r="S49" i="19" s="1"/>
  <c r="N6" i="19"/>
  <c r="L28" i="19"/>
  <c r="M28" i="19" s="1"/>
  <c r="O15" i="19"/>
  <c r="Q15" i="19" s="1"/>
  <c r="D54" i="19"/>
  <c r="F57" i="19"/>
  <c r="P57" i="19" s="1"/>
  <c r="M57" i="19"/>
  <c r="N68" i="19"/>
  <c r="U70" i="19"/>
  <c r="R6" i="19"/>
  <c r="R29" i="19" s="1"/>
  <c r="U25" i="19"/>
  <c r="H25" i="19"/>
  <c r="J25" i="19" s="1"/>
  <c r="M25" i="19"/>
  <c r="F27" i="19"/>
  <c r="P27" i="19" s="1"/>
  <c r="D27" i="19"/>
  <c r="F49" i="19"/>
  <c r="P49" i="19" s="1"/>
  <c r="I68" i="19"/>
  <c r="S68" i="19" s="1"/>
  <c r="L26" i="19"/>
  <c r="M26" i="19" s="1"/>
  <c r="O11" i="19"/>
  <c r="L18" i="19"/>
  <c r="Q57" i="19"/>
  <c r="U66" i="19"/>
  <c r="H66" i="19"/>
  <c r="M66" i="19"/>
  <c r="O38" i="19"/>
  <c r="O27" i="19"/>
  <c r="N11" i="19"/>
  <c r="H15" i="19"/>
  <c r="N26" i="19"/>
  <c r="D11" i="19"/>
  <c r="D6" i="19"/>
  <c r="L30" i="19"/>
  <c r="N15" i="19"/>
  <c r="I27" i="19"/>
  <c r="D49" i="19"/>
  <c r="F54" i="19"/>
  <c r="P54" i="19" s="1"/>
  <c r="H57" i="19"/>
  <c r="N67" i="19"/>
  <c r="N69" i="19"/>
  <c r="N73" i="19"/>
  <c r="E36" i="19"/>
  <c r="H36" i="19" s="1"/>
  <c r="E37" i="19"/>
  <c r="I37" i="19"/>
  <c r="S37" i="19" s="1"/>
  <c r="I78" i="19"/>
  <c r="S78" i="19" s="1"/>
  <c r="L31" i="4"/>
  <c r="L30" i="4"/>
  <c r="O15" i="4"/>
  <c r="R15" i="4" s="1"/>
  <c r="J15" i="4"/>
  <c r="L18" i="4"/>
  <c r="S25" i="4"/>
  <c r="M25" i="4"/>
  <c r="U25" i="4"/>
  <c r="C32" i="4"/>
  <c r="J37" i="22" l="1"/>
  <c r="U27" i="21"/>
  <c r="E68" i="19"/>
  <c r="G11" i="22"/>
  <c r="T11" i="22" s="1"/>
  <c r="P60" i="19"/>
  <c r="N60" i="19"/>
  <c r="U42" i="22"/>
  <c r="N88" i="22"/>
  <c r="P60" i="22"/>
  <c r="S42" i="22"/>
  <c r="S44" i="22" s="1"/>
  <c r="P44" i="22"/>
  <c r="Q73" i="22"/>
  <c r="P73" i="22"/>
  <c r="Q15" i="22"/>
  <c r="Q18" i="22" s="1"/>
  <c r="G15" i="22"/>
  <c r="T15" i="22" s="1"/>
  <c r="Q57" i="22"/>
  <c r="G57" i="22"/>
  <c r="T57" i="22" s="1"/>
  <c r="H6" i="22"/>
  <c r="P67" i="22"/>
  <c r="Q67" i="22"/>
  <c r="U78" i="22"/>
  <c r="U83" i="22" s="1"/>
  <c r="S85" i="22" s="1"/>
  <c r="J78" i="22"/>
  <c r="M88" i="22"/>
  <c r="M20" i="22"/>
  <c r="P71" i="22"/>
  <c r="Q71" i="22"/>
  <c r="H49" i="22"/>
  <c r="Q54" i="22"/>
  <c r="G54" i="22"/>
  <c r="T54" i="22" s="1"/>
  <c r="T60" i="22" s="1"/>
  <c r="Q72" i="22"/>
  <c r="P72" i="22"/>
  <c r="H15" i="21"/>
  <c r="J15" i="21" s="1"/>
  <c r="T6" i="21"/>
  <c r="S88" i="21"/>
  <c r="P44" i="21"/>
  <c r="T68" i="21"/>
  <c r="U68" i="21"/>
  <c r="Q11" i="21"/>
  <c r="G11" i="21"/>
  <c r="T11" i="21" s="1"/>
  <c r="G54" i="21"/>
  <c r="T54" i="21" s="1"/>
  <c r="Q54" i="21"/>
  <c r="Q6" i="21"/>
  <c r="T49" i="21"/>
  <c r="Q49" i="21"/>
  <c r="H49" i="21"/>
  <c r="Q83" i="21"/>
  <c r="P85" i="21" s="1"/>
  <c r="U37" i="21"/>
  <c r="U42" i="21" s="1"/>
  <c r="T37" i="21"/>
  <c r="T42" i="21" s="1"/>
  <c r="M60" i="21"/>
  <c r="M62" i="21" s="1"/>
  <c r="P88" i="21"/>
  <c r="S83" i="19"/>
  <c r="S6" i="19"/>
  <c r="S39" i="19"/>
  <c r="U39" i="19"/>
  <c r="M71" i="19"/>
  <c r="M83" i="19" s="1"/>
  <c r="N71" i="19"/>
  <c r="S54" i="19"/>
  <c r="S60" i="19" s="1"/>
  <c r="M72" i="19"/>
  <c r="N72" i="19"/>
  <c r="G36" i="19"/>
  <c r="J36" i="19"/>
  <c r="E54" i="19"/>
  <c r="M54" i="19"/>
  <c r="G77" i="19"/>
  <c r="J77" i="19"/>
  <c r="M11" i="19"/>
  <c r="E11" i="19"/>
  <c r="G66" i="19"/>
  <c r="J66" i="19" s="1"/>
  <c r="S29" i="19"/>
  <c r="U29" i="19"/>
  <c r="P15" i="19"/>
  <c r="R15" i="19"/>
  <c r="M31" i="19"/>
  <c r="N31" i="19"/>
  <c r="Q78" i="19"/>
  <c r="H78" i="19"/>
  <c r="U57" i="19"/>
  <c r="J57" i="19"/>
  <c r="M6" i="19"/>
  <c r="M18" i="19" s="1"/>
  <c r="E6" i="19"/>
  <c r="E49" i="19"/>
  <c r="M49" i="19"/>
  <c r="Q68" i="19"/>
  <c r="Q83" i="19" s="1"/>
  <c r="P85" i="19" s="1"/>
  <c r="H68" i="19"/>
  <c r="P11" i="19"/>
  <c r="R11" i="19"/>
  <c r="S11" i="19" s="1"/>
  <c r="N28" i="19"/>
  <c r="N42" i="19" s="1"/>
  <c r="Q37" i="19"/>
  <c r="H37" i="19"/>
  <c r="S27" i="19"/>
  <c r="S42" i="19" s="1"/>
  <c r="G27" i="19"/>
  <c r="T27" i="19" s="1"/>
  <c r="M30" i="19"/>
  <c r="N30" i="19"/>
  <c r="U15" i="19"/>
  <c r="J15" i="19"/>
  <c r="Q38" i="19"/>
  <c r="P38" i="19"/>
  <c r="P42" i="19" s="1"/>
  <c r="M27" i="19"/>
  <c r="M42" i="19" s="1"/>
  <c r="E27" i="19"/>
  <c r="N18" i="19"/>
  <c r="I62" i="6"/>
  <c r="N83" i="19" l="1"/>
  <c r="Q60" i="22"/>
  <c r="P62" i="22" s="1"/>
  <c r="T18" i="22"/>
  <c r="M44" i="19"/>
  <c r="S88" i="22"/>
  <c r="M60" i="19"/>
  <c r="M62" i="19" s="1"/>
  <c r="H11" i="22"/>
  <c r="M93" i="22"/>
  <c r="J49" i="22"/>
  <c r="U49" i="22"/>
  <c r="U6" i="22"/>
  <c r="J6" i="22"/>
  <c r="S89" i="22"/>
  <c r="H15" i="22"/>
  <c r="P20" i="22"/>
  <c r="Q83" i="22"/>
  <c r="H57" i="22"/>
  <c r="H54" i="22"/>
  <c r="P83" i="22"/>
  <c r="S44" i="21"/>
  <c r="T18" i="21"/>
  <c r="U15" i="21"/>
  <c r="M88" i="21"/>
  <c r="M93" i="21" s="1"/>
  <c r="Q60" i="21"/>
  <c r="P62" i="21" s="1"/>
  <c r="Q18" i="21"/>
  <c r="S89" i="21"/>
  <c r="U78" i="21"/>
  <c r="U83" i="21" s="1"/>
  <c r="T78" i="21"/>
  <c r="T83" i="21" s="1"/>
  <c r="T60" i="21"/>
  <c r="H54" i="21"/>
  <c r="H11" i="21"/>
  <c r="J68" i="21"/>
  <c r="P89" i="21"/>
  <c r="U49" i="21"/>
  <c r="J49" i="21"/>
  <c r="P18" i="19"/>
  <c r="M85" i="19"/>
  <c r="G37" i="19"/>
  <c r="T37" i="19" s="1"/>
  <c r="T42" i="19" s="1"/>
  <c r="J37" i="19"/>
  <c r="U37" i="19"/>
  <c r="G49" i="19"/>
  <c r="T49" i="19" s="1"/>
  <c r="Q49" i="19"/>
  <c r="Q11" i="19"/>
  <c r="G11" i="19"/>
  <c r="T11" i="19" s="1"/>
  <c r="Q27" i="19"/>
  <c r="Q42" i="19" s="1"/>
  <c r="H27" i="19"/>
  <c r="J68" i="19"/>
  <c r="U68" i="19"/>
  <c r="G68" i="19"/>
  <c r="T68" i="19" s="1"/>
  <c r="Q6" i="19"/>
  <c r="G6" i="19"/>
  <c r="T6" i="19" s="1"/>
  <c r="U78" i="19"/>
  <c r="G78" i="19"/>
  <c r="T78" i="19" s="1"/>
  <c r="T15" i="19"/>
  <c r="S15" i="19"/>
  <c r="S18" i="19" s="1"/>
  <c r="M20" i="19"/>
  <c r="G54" i="19"/>
  <c r="T54" i="19" s="1"/>
  <c r="Q54" i="19"/>
  <c r="N88" i="19"/>
  <c r="P44" i="19"/>
  <c r="E9" i="9"/>
  <c r="E8" i="9"/>
  <c r="E10" i="9" s="1"/>
  <c r="F7" i="10"/>
  <c r="R7" i="10"/>
  <c r="I23" i="9"/>
  <c r="P6" i="10"/>
  <c r="S71" i="10"/>
  <c r="R71" i="10"/>
  <c r="S77" i="10"/>
  <c r="S76" i="10"/>
  <c r="S75" i="10"/>
  <c r="R77" i="10"/>
  <c r="R76" i="10"/>
  <c r="R75" i="10"/>
  <c r="S32" i="10"/>
  <c r="S31" i="10"/>
  <c r="S30" i="10"/>
  <c r="R32" i="10"/>
  <c r="R31" i="10"/>
  <c r="R30" i="10"/>
  <c r="S26" i="10"/>
  <c r="R26" i="10"/>
  <c r="H6" i="10"/>
  <c r="K6" i="10"/>
  <c r="D6" i="10"/>
  <c r="E6" i="10" s="1"/>
  <c r="C7" i="10"/>
  <c r="M88" i="19" l="1"/>
  <c r="M93" i="19" s="1"/>
  <c r="Q88" i="22"/>
  <c r="Q89" i="22" s="1"/>
  <c r="J78" i="19"/>
  <c r="H6" i="19"/>
  <c r="U11" i="22"/>
  <c r="J11" i="22"/>
  <c r="U54" i="22"/>
  <c r="J54" i="22"/>
  <c r="J57" i="22"/>
  <c r="U57" i="22"/>
  <c r="U15" i="22"/>
  <c r="U18" i="22" s="1"/>
  <c r="J15" i="22"/>
  <c r="P85" i="22"/>
  <c r="P88" i="22"/>
  <c r="S85" i="21"/>
  <c r="U54" i="21"/>
  <c r="U60" i="21" s="1"/>
  <c r="S62" i="21" s="1"/>
  <c r="J54" i="21"/>
  <c r="Q88" i="21"/>
  <c r="P20" i="21"/>
  <c r="U6" i="21"/>
  <c r="U11" i="21"/>
  <c r="J11" i="21"/>
  <c r="J78" i="21"/>
  <c r="P88" i="19"/>
  <c r="P89" i="19" s="1"/>
  <c r="Q18" i="19"/>
  <c r="P20" i="19" s="1"/>
  <c r="Q60" i="19"/>
  <c r="P62" i="19" s="1"/>
  <c r="S88" i="19"/>
  <c r="T83" i="19"/>
  <c r="J27" i="19"/>
  <c r="U27" i="19"/>
  <c r="U42" i="19" s="1"/>
  <c r="S44" i="19" s="1"/>
  <c r="H54" i="19"/>
  <c r="T18" i="19"/>
  <c r="U83" i="19"/>
  <c r="H49" i="19"/>
  <c r="U6" i="19"/>
  <c r="J6" i="19"/>
  <c r="H11" i="19"/>
  <c r="T60" i="19"/>
  <c r="S6" i="10"/>
  <c r="T82" i="10"/>
  <c r="R41" i="10"/>
  <c r="P41" i="10"/>
  <c r="O6" i="10"/>
  <c r="Q88" i="19" l="1"/>
  <c r="Q89" i="19" s="1"/>
  <c r="U60" i="22"/>
  <c r="S62" i="22" s="1"/>
  <c r="S20" i="22"/>
  <c r="P93" i="22"/>
  <c r="P89" i="22"/>
  <c r="Q89" i="21"/>
  <c r="P93" i="21"/>
  <c r="U18" i="21"/>
  <c r="U54" i="19"/>
  <c r="J54" i="19"/>
  <c r="U11" i="19"/>
  <c r="U18" i="19" s="1"/>
  <c r="J11" i="19"/>
  <c r="U49" i="19"/>
  <c r="U60" i="19" s="1"/>
  <c r="S62" i="19" s="1"/>
  <c r="J49" i="19"/>
  <c r="S85" i="19"/>
  <c r="S89" i="19"/>
  <c r="D6" i="2"/>
  <c r="D10" i="2" s="1"/>
  <c r="P93" i="19" l="1"/>
  <c r="U88" i="22"/>
  <c r="S93" i="22" s="1"/>
  <c r="U89" i="22"/>
  <c r="U88" i="21"/>
  <c r="S20" i="21"/>
  <c r="U88" i="19"/>
  <c r="S20" i="19"/>
  <c r="H25" i="16"/>
  <c r="H16" i="16"/>
  <c r="G25" i="16"/>
  <c r="F15" i="16"/>
  <c r="H15" i="16" s="1"/>
  <c r="E16" i="16"/>
  <c r="E15" i="16"/>
  <c r="F26" i="16"/>
  <c r="F16" i="16"/>
  <c r="G16" i="16" s="1"/>
  <c r="E19" i="16"/>
  <c r="E28" i="16"/>
  <c r="F28" i="16" s="1"/>
  <c r="E27" i="16"/>
  <c r="F27" i="16" s="1"/>
  <c r="E26" i="16"/>
  <c r="E25" i="16"/>
  <c r="E29" i="16" s="1"/>
  <c r="E17" i="16"/>
  <c r="F17" i="16" s="1"/>
  <c r="E18" i="16"/>
  <c r="F18" i="16" s="1"/>
  <c r="C11" i="16"/>
  <c r="D11" i="16"/>
  <c r="U89" i="21" l="1"/>
  <c r="S93" i="21"/>
  <c r="U89" i="19"/>
  <c r="S93" i="19"/>
  <c r="G27" i="16"/>
  <c r="H27" i="16"/>
  <c r="F29" i="16"/>
  <c r="H18" i="16"/>
  <c r="G18" i="16"/>
  <c r="H28" i="16"/>
  <c r="G28" i="16"/>
  <c r="H17" i="16"/>
  <c r="G17" i="16"/>
  <c r="H26" i="16"/>
  <c r="F19" i="16"/>
  <c r="G26" i="16"/>
  <c r="G15" i="16"/>
  <c r="V90" i="11"/>
  <c r="Y90" i="11" s="1"/>
  <c r="S89" i="11"/>
  <c r="U89" i="11" s="1"/>
  <c r="Z88" i="11"/>
  <c r="V88" i="11"/>
  <c r="S88" i="11"/>
  <c r="P88" i="11"/>
  <c r="C88" i="11"/>
  <c r="C87" i="11"/>
  <c r="M87" i="11" s="1"/>
  <c r="C83" i="11"/>
  <c r="D58" i="11" s="1"/>
  <c r="Q58" i="11" s="1"/>
  <c r="C82" i="11"/>
  <c r="C81" i="11"/>
  <c r="V80" i="11"/>
  <c r="Y80" i="11" s="1"/>
  <c r="C79" i="11"/>
  <c r="D65" i="11" s="1"/>
  <c r="Z78" i="11"/>
  <c r="V78" i="11"/>
  <c r="S78" i="11"/>
  <c r="P78" i="11"/>
  <c r="C78" i="11"/>
  <c r="C77" i="11"/>
  <c r="D61" i="11" s="1"/>
  <c r="C76" i="11"/>
  <c r="M76" i="11" s="1"/>
  <c r="Z66" i="11"/>
  <c r="V66" i="11"/>
  <c r="S66" i="11"/>
  <c r="P66" i="11"/>
  <c r="P79" i="11" s="1"/>
  <c r="Q79" i="11" s="1"/>
  <c r="C66" i="11"/>
  <c r="C65" i="11"/>
  <c r="C64" i="11"/>
  <c r="Z63" i="11"/>
  <c r="V63" i="11"/>
  <c r="S63" i="11"/>
  <c r="P63" i="11"/>
  <c r="P77" i="11" s="1"/>
  <c r="I63" i="11"/>
  <c r="C63" i="11"/>
  <c r="C61" i="11"/>
  <c r="C60" i="11"/>
  <c r="Z59" i="11"/>
  <c r="V59" i="11"/>
  <c r="S59" i="11"/>
  <c r="P59" i="11"/>
  <c r="C59" i="11"/>
  <c r="R59" i="11" s="1"/>
  <c r="C56" i="11"/>
  <c r="C55" i="11"/>
  <c r="Z54" i="11"/>
  <c r="V54" i="11"/>
  <c r="S54" i="11"/>
  <c r="P54" i="11"/>
  <c r="R55" i="11" s="1"/>
  <c r="C54" i="11"/>
  <c r="R54" i="11" s="1"/>
  <c r="V43" i="11"/>
  <c r="Y43" i="11" s="1"/>
  <c r="S42" i="11"/>
  <c r="U42" i="11" s="1"/>
  <c r="Z41" i="11"/>
  <c r="V41" i="11"/>
  <c r="S41" i="11"/>
  <c r="P41" i="11"/>
  <c r="C41" i="11"/>
  <c r="C40" i="11"/>
  <c r="M40" i="11" s="1"/>
  <c r="C36" i="11"/>
  <c r="D10" i="11" s="1"/>
  <c r="C35" i="11"/>
  <c r="C34" i="11"/>
  <c r="C32" i="11"/>
  <c r="Z31" i="11"/>
  <c r="V31" i="11"/>
  <c r="S31" i="11"/>
  <c r="P31" i="11"/>
  <c r="C31" i="11"/>
  <c r="C30" i="11"/>
  <c r="D13" i="11" s="1"/>
  <c r="C29" i="11"/>
  <c r="I29" i="11" s="1"/>
  <c r="C19" i="11"/>
  <c r="Z18" i="11"/>
  <c r="V18" i="11"/>
  <c r="S18" i="11"/>
  <c r="P18" i="11"/>
  <c r="P32" i="11" s="1"/>
  <c r="Q32" i="11" s="1"/>
  <c r="C18" i="11"/>
  <c r="M18" i="11" s="1"/>
  <c r="C17" i="11"/>
  <c r="C16" i="11"/>
  <c r="Z15" i="11"/>
  <c r="V15" i="11"/>
  <c r="S15" i="11"/>
  <c r="P15" i="11"/>
  <c r="R16" i="11" s="1"/>
  <c r="C15" i="11"/>
  <c r="C13" i="11"/>
  <c r="C12" i="11"/>
  <c r="Z11" i="11"/>
  <c r="V11" i="11"/>
  <c r="S11" i="11"/>
  <c r="P11" i="11"/>
  <c r="R12" i="11" s="1"/>
  <c r="C11" i="11"/>
  <c r="C8" i="11"/>
  <c r="C7" i="11"/>
  <c r="Z6" i="11"/>
  <c r="V6" i="11"/>
  <c r="V33" i="11" s="1"/>
  <c r="Y33" i="11" s="1"/>
  <c r="S6" i="11"/>
  <c r="P6" i="11"/>
  <c r="R7" i="11" s="1"/>
  <c r="C6" i="11"/>
  <c r="U84" i="10"/>
  <c r="X82" i="10"/>
  <c r="Q82" i="10"/>
  <c r="N82" i="10"/>
  <c r="C82" i="10"/>
  <c r="C81" i="10"/>
  <c r="H81" i="10" s="1"/>
  <c r="C77" i="10"/>
  <c r="C76" i="10"/>
  <c r="C75" i="10"/>
  <c r="W74" i="10"/>
  <c r="C73" i="10"/>
  <c r="X72" i="10"/>
  <c r="T72" i="10"/>
  <c r="Q72" i="10"/>
  <c r="N72" i="10"/>
  <c r="C72" i="10"/>
  <c r="H72" i="10" s="1"/>
  <c r="C71" i="10"/>
  <c r="C70" i="10"/>
  <c r="F53" i="10" s="1"/>
  <c r="P52" i="10"/>
  <c r="P64" i="10" s="1"/>
  <c r="W39" i="10"/>
  <c r="R38" i="10"/>
  <c r="C37" i="10"/>
  <c r="F37" i="10" s="1"/>
  <c r="C36" i="10"/>
  <c r="C32" i="10"/>
  <c r="C31" i="10"/>
  <c r="C30" i="10"/>
  <c r="C28" i="10"/>
  <c r="C27" i="10"/>
  <c r="C26" i="10"/>
  <c r="H25" i="10"/>
  <c r="M54" i="11" l="1"/>
  <c r="AA54" i="11" s="1"/>
  <c r="D55" i="11"/>
  <c r="Q55" i="11" s="1"/>
  <c r="F54" i="11"/>
  <c r="T54" i="11" s="1"/>
  <c r="D8" i="11"/>
  <c r="Q8" i="11" s="1"/>
  <c r="I59" i="11"/>
  <c r="W59" i="11" s="1"/>
  <c r="D63" i="11"/>
  <c r="Q63" i="11" s="1"/>
  <c r="I18" i="11"/>
  <c r="W18" i="11" s="1"/>
  <c r="M6" i="11"/>
  <c r="AA6" i="11" s="1"/>
  <c r="F8" i="10"/>
  <c r="R8" i="10" s="1"/>
  <c r="F6" i="10"/>
  <c r="G6" i="10" s="1"/>
  <c r="I6" i="10" s="1"/>
  <c r="J6" i="10" s="1"/>
  <c r="F54" i="10"/>
  <c r="R54" i="10" s="1"/>
  <c r="W63" i="11"/>
  <c r="I6" i="11"/>
  <c r="W6" i="11" s="1"/>
  <c r="D7" i="11"/>
  <c r="Q7" i="11" s="1"/>
  <c r="H19" i="16"/>
  <c r="G19" i="16"/>
  <c r="F32" i="16"/>
  <c r="G29" i="16"/>
  <c r="H29" i="16"/>
  <c r="D57" i="11"/>
  <c r="Q57" i="11" s="1"/>
  <c r="I11" i="11"/>
  <c r="W11" i="11" s="1"/>
  <c r="M15" i="11"/>
  <c r="AA15" i="11" s="1"/>
  <c r="R18" i="11"/>
  <c r="R31" i="11"/>
  <c r="R78" i="11"/>
  <c r="I15" i="11"/>
  <c r="M11" i="11"/>
  <c r="AA11" i="11" s="1"/>
  <c r="K52" i="10"/>
  <c r="Y52" i="10" s="1"/>
  <c r="D52" i="10"/>
  <c r="O52" i="10" s="1"/>
  <c r="O64" i="10" s="1"/>
  <c r="H52" i="10"/>
  <c r="U52" i="10" s="1"/>
  <c r="F52" i="10"/>
  <c r="R52" i="10" s="1"/>
  <c r="R64" i="10" s="1"/>
  <c r="R53" i="10"/>
  <c r="H82" i="10"/>
  <c r="U82" i="10" s="1"/>
  <c r="P82" i="10"/>
  <c r="K70" i="10"/>
  <c r="K36" i="10"/>
  <c r="F36" i="10"/>
  <c r="W29" i="10"/>
  <c r="D37" i="10"/>
  <c r="O37" i="10" s="1"/>
  <c r="U72" i="10"/>
  <c r="P27" i="10"/>
  <c r="P18" i="10"/>
  <c r="P94" i="10" s="1"/>
  <c r="U6" i="10"/>
  <c r="D27" i="10"/>
  <c r="O27" i="10" s="1"/>
  <c r="U39" i="10"/>
  <c r="H36" i="10"/>
  <c r="H27" i="10"/>
  <c r="U27" i="10" s="1"/>
  <c r="D36" i="10"/>
  <c r="E36" i="10" s="1"/>
  <c r="H37" i="10"/>
  <c r="U37" i="10" s="1"/>
  <c r="Q13" i="11"/>
  <c r="R6" i="11"/>
  <c r="R15" i="11"/>
  <c r="D31" i="11"/>
  <c r="Q31" i="11" s="1"/>
  <c r="R41" i="11"/>
  <c r="D54" i="11"/>
  <c r="Q54" i="11" s="1"/>
  <c r="I54" i="11"/>
  <c r="W54" i="11" s="1"/>
  <c r="F59" i="11"/>
  <c r="T59" i="11" s="1"/>
  <c r="M59" i="11"/>
  <c r="AA59" i="11" s="1"/>
  <c r="D60" i="11"/>
  <c r="Q60" i="11" s="1"/>
  <c r="R63" i="11"/>
  <c r="F63" i="11"/>
  <c r="T63" i="11" s="1"/>
  <c r="M63" i="11"/>
  <c r="AA63" i="11" s="1"/>
  <c r="D64" i="11"/>
  <c r="Q64" i="11" s="1"/>
  <c r="R66" i="11"/>
  <c r="Q61" i="11"/>
  <c r="D78" i="11"/>
  <c r="Q78" i="11" s="1"/>
  <c r="W90" i="11"/>
  <c r="D6" i="11"/>
  <c r="Q6" i="11" s="1"/>
  <c r="R11" i="11"/>
  <c r="D15" i="11"/>
  <c r="Q15" i="11" s="1"/>
  <c r="Q10" i="11"/>
  <c r="W43" i="11"/>
  <c r="Q65" i="11"/>
  <c r="R88" i="11"/>
  <c r="P30" i="11"/>
  <c r="Q30" i="11" s="1"/>
  <c r="P34" i="11"/>
  <c r="Q34" i="11" s="1"/>
  <c r="P35" i="11"/>
  <c r="P36" i="11"/>
  <c r="D11" i="11"/>
  <c r="Q11" i="11" s="1"/>
  <c r="D18" i="11"/>
  <c r="Q18" i="11" s="1"/>
  <c r="I31" i="11"/>
  <c r="W31" i="11" s="1"/>
  <c r="D59" i="11"/>
  <c r="Q59" i="11" s="1"/>
  <c r="D62" i="11"/>
  <c r="Q62" i="11" s="1"/>
  <c r="I78" i="11"/>
  <c r="W78" i="11" s="1"/>
  <c r="F6" i="11"/>
  <c r="F11" i="11"/>
  <c r="F15" i="11"/>
  <c r="F18" i="11"/>
  <c r="T18" i="11" s="1"/>
  <c r="F31" i="11"/>
  <c r="T31" i="11" s="1"/>
  <c r="R35" i="11"/>
  <c r="R36" i="11"/>
  <c r="D40" i="11"/>
  <c r="E40" i="11" s="1"/>
  <c r="I40" i="11"/>
  <c r="D41" i="11"/>
  <c r="Q41" i="11" s="1"/>
  <c r="I41" i="11"/>
  <c r="W41" i="11" s="1"/>
  <c r="D56" i="11"/>
  <c r="Q56" i="11" s="1"/>
  <c r="F78" i="11"/>
  <c r="T78" i="11" s="1"/>
  <c r="D87" i="11"/>
  <c r="E87" i="11" s="1"/>
  <c r="I87" i="11"/>
  <c r="D88" i="11"/>
  <c r="Q88" i="11" s="1"/>
  <c r="I88" i="11"/>
  <c r="W88" i="11" s="1"/>
  <c r="F40" i="11"/>
  <c r="F41" i="11"/>
  <c r="T41" i="11" s="1"/>
  <c r="F87" i="11"/>
  <c r="F88" i="11"/>
  <c r="T88" i="11" s="1"/>
  <c r="R32" i="11"/>
  <c r="T29" i="11"/>
  <c r="W29" i="11"/>
  <c r="M29" i="11"/>
  <c r="D9" i="11"/>
  <c r="Q9" i="11" s="1"/>
  <c r="D12" i="11"/>
  <c r="Q12" i="11" s="1"/>
  <c r="D14" i="11"/>
  <c r="Q14" i="11" s="1"/>
  <c r="D16" i="11"/>
  <c r="Q16" i="11" s="1"/>
  <c r="D17" i="11"/>
  <c r="Q17" i="11" s="1"/>
  <c r="AA18" i="11"/>
  <c r="D29" i="11"/>
  <c r="E29" i="11" s="1"/>
  <c r="F29" i="11"/>
  <c r="J31" i="11"/>
  <c r="X31" i="11" s="1"/>
  <c r="M31" i="11"/>
  <c r="AA31" i="11" s="1"/>
  <c r="W33" i="11"/>
  <c r="Q35" i="11"/>
  <c r="Q36" i="11"/>
  <c r="M41" i="11"/>
  <c r="AA41" i="11" s="1"/>
  <c r="T42" i="11"/>
  <c r="P83" i="11"/>
  <c r="P82" i="11"/>
  <c r="P81" i="11"/>
  <c r="R60" i="11"/>
  <c r="R79" i="11"/>
  <c r="R77" i="11"/>
  <c r="Q77" i="11"/>
  <c r="D66" i="11"/>
  <c r="Q66" i="11" s="1"/>
  <c r="F66" i="11"/>
  <c r="T66" i="11" s="1"/>
  <c r="I66" i="11"/>
  <c r="W66" i="11" s="1"/>
  <c r="D76" i="11"/>
  <c r="E76" i="11" s="1"/>
  <c r="F76" i="11"/>
  <c r="I76" i="11"/>
  <c r="M78" i="11"/>
  <c r="AA78" i="11" s="1"/>
  <c r="W80" i="11"/>
  <c r="M88" i="11"/>
  <c r="AA88" i="11" s="1"/>
  <c r="T89" i="11"/>
  <c r="R64" i="11"/>
  <c r="M66" i="11"/>
  <c r="AA66" i="11" s="1"/>
  <c r="F70" i="10"/>
  <c r="O18" i="10"/>
  <c r="F27" i="10"/>
  <c r="R27" i="10" s="1"/>
  <c r="D70" i="10"/>
  <c r="E70" i="10" s="1"/>
  <c r="H70" i="10"/>
  <c r="U74" i="10"/>
  <c r="P37" i="10"/>
  <c r="R37" i="10"/>
  <c r="R25" i="10"/>
  <c r="U25" i="10"/>
  <c r="K25" i="10"/>
  <c r="S38" i="10"/>
  <c r="D25" i="10"/>
  <c r="E25" i="10" s="1"/>
  <c r="F25" i="10"/>
  <c r="K27" i="10"/>
  <c r="Y27" i="10" s="1"/>
  <c r="K37" i="10"/>
  <c r="Y37" i="10" s="1"/>
  <c r="K72" i="10"/>
  <c r="Y72" i="10" s="1"/>
  <c r="P72" i="10"/>
  <c r="K81" i="10"/>
  <c r="K82" i="10"/>
  <c r="Y82" i="10" s="1"/>
  <c r="W84" i="10"/>
  <c r="D72" i="10"/>
  <c r="O72" i="10" s="1"/>
  <c r="F72" i="10"/>
  <c r="R72" i="10" s="1"/>
  <c r="D81" i="10"/>
  <c r="E81" i="10" s="1"/>
  <c r="F81" i="10"/>
  <c r="D82" i="10"/>
  <c r="O82" i="10" s="1"/>
  <c r="F82" i="10"/>
  <c r="R82" i="10" s="1"/>
  <c r="L68" i="4"/>
  <c r="O68" i="4"/>
  <c r="R68" i="4"/>
  <c r="R70" i="4"/>
  <c r="U70" i="4" s="1"/>
  <c r="L78" i="4"/>
  <c r="O78" i="4"/>
  <c r="R78" i="4"/>
  <c r="O79" i="4"/>
  <c r="P79" i="4" s="1"/>
  <c r="R80" i="4"/>
  <c r="U80" i="4" s="1"/>
  <c r="E31" i="11" l="1"/>
  <c r="G31" i="11" s="1"/>
  <c r="E63" i="11"/>
  <c r="G63" i="11" s="1"/>
  <c r="R70" i="11"/>
  <c r="W70" i="11"/>
  <c r="G87" i="11"/>
  <c r="J87" i="11" s="1"/>
  <c r="K87" i="11" s="1"/>
  <c r="N87" i="11" s="1"/>
  <c r="E88" i="11"/>
  <c r="G88" i="11" s="1"/>
  <c r="E54" i="11"/>
  <c r="U54" i="11" s="1"/>
  <c r="O94" i="10"/>
  <c r="T70" i="11"/>
  <c r="S70" i="4"/>
  <c r="T15" i="11"/>
  <c r="E15" i="11"/>
  <c r="U15" i="11" s="1"/>
  <c r="S80" i="4"/>
  <c r="Q70" i="11"/>
  <c r="T11" i="11"/>
  <c r="E11" i="11"/>
  <c r="U11" i="11" s="1"/>
  <c r="AA70" i="11"/>
  <c r="E59" i="11"/>
  <c r="U59" i="11" s="1"/>
  <c r="G40" i="11"/>
  <c r="J40" i="11" s="1"/>
  <c r="K40" i="11" s="1"/>
  <c r="N40" i="11" s="1"/>
  <c r="T6" i="11"/>
  <c r="E6" i="11"/>
  <c r="U6" i="11" s="1"/>
  <c r="G32" i="16"/>
  <c r="E78" i="11"/>
  <c r="G78" i="11" s="1"/>
  <c r="W15" i="11"/>
  <c r="W22" i="11" s="1"/>
  <c r="W100" i="11" s="1"/>
  <c r="H32" i="16"/>
  <c r="R6" i="10"/>
  <c r="R18" i="10" s="1"/>
  <c r="R94" i="10" s="1"/>
  <c r="U29" i="10"/>
  <c r="E27" i="10"/>
  <c r="S27" i="10" s="1"/>
  <c r="U64" i="10"/>
  <c r="E37" i="10"/>
  <c r="S37" i="10" s="1"/>
  <c r="E82" i="10"/>
  <c r="G82" i="10" s="1"/>
  <c r="I82" i="10" s="1"/>
  <c r="E72" i="10"/>
  <c r="G72" i="10" s="1"/>
  <c r="I72" i="10" s="1"/>
  <c r="G36" i="10"/>
  <c r="E6" i="13"/>
  <c r="U18" i="10"/>
  <c r="E52" i="10"/>
  <c r="S52" i="10" s="1"/>
  <c r="S64" i="10" s="1"/>
  <c r="R43" i="10"/>
  <c r="R22" i="11"/>
  <c r="R34" i="11"/>
  <c r="Q22" i="11"/>
  <c r="E66" i="11"/>
  <c r="G66" i="11" s="1"/>
  <c r="R100" i="11"/>
  <c r="E41" i="11"/>
  <c r="U41" i="11" s="1"/>
  <c r="R30" i="11"/>
  <c r="Q29" i="11"/>
  <c r="Q47" i="11" s="1"/>
  <c r="G29" i="11"/>
  <c r="Y29" i="11"/>
  <c r="Q76" i="11"/>
  <c r="G76" i="11"/>
  <c r="Y76" i="11"/>
  <c r="AA94" i="11"/>
  <c r="W76" i="11"/>
  <c r="W94" i="11" s="1"/>
  <c r="T76" i="11"/>
  <c r="T94" i="11" s="1"/>
  <c r="R82" i="11"/>
  <c r="Q82" i="11"/>
  <c r="AA22" i="11"/>
  <c r="T47" i="11"/>
  <c r="R81" i="11"/>
  <c r="Q81" i="11"/>
  <c r="R83" i="11"/>
  <c r="Q83" i="11"/>
  <c r="AA47" i="11"/>
  <c r="U31" i="11"/>
  <c r="Q100" i="11"/>
  <c r="W47" i="11"/>
  <c r="U70" i="10"/>
  <c r="U88" i="10" s="1"/>
  <c r="R70" i="10"/>
  <c r="R88" i="10" s="1"/>
  <c r="Y64" i="10"/>
  <c r="Y43" i="10"/>
  <c r="W25" i="10"/>
  <c r="O25" i="10"/>
  <c r="G25" i="10"/>
  <c r="I25" i="10" s="1"/>
  <c r="O70" i="10"/>
  <c r="O88" i="10" s="1"/>
  <c r="G70" i="10"/>
  <c r="I70" i="10" s="1"/>
  <c r="W70" i="10"/>
  <c r="P43" i="10"/>
  <c r="G81" i="10"/>
  <c r="I81" i="10" s="1"/>
  <c r="Y88" i="10"/>
  <c r="L6" i="10"/>
  <c r="P88" i="10"/>
  <c r="U43" i="10"/>
  <c r="Q79" i="4"/>
  <c r="U88" i="11" l="1"/>
  <c r="U63" i="11"/>
  <c r="G54" i="11"/>
  <c r="Y54" i="11" s="1"/>
  <c r="Q72" i="11"/>
  <c r="T22" i="11"/>
  <c r="T100" i="11" s="1"/>
  <c r="U78" i="11"/>
  <c r="G59" i="11"/>
  <c r="J59" i="11" s="1"/>
  <c r="X59" i="11" s="1"/>
  <c r="S100" i="11"/>
  <c r="U66" i="11"/>
  <c r="U70" i="11" s="1"/>
  <c r="T72" i="11" s="1"/>
  <c r="G41" i="11"/>
  <c r="Y41" i="11" s="1"/>
  <c r="R47" i="11"/>
  <c r="Q49" i="11" s="1"/>
  <c r="Q24" i="11"/>
  <c r="S43" i="10"/>
  <c r="R45" i="10" s="1"/>
  <c r="S72" i="10"/>
  <c r="P93" i="10"/>
  <c r="P95" i="10" s="1"/>
  <c r="G52" i="10"/>
  <c r="W52" i="10" s="1"/>
  <c r="S82" i="10"/>
  <c r="Q94" i="10"/>
  <c r="Y6" i="10"/>
  <c r="Y18" i="10" s="1"/>
  <c r="Y94" i="10" s="1"/>
  <c r="N6" i="13" s="1"/>
  <c r="G27" i="10"/>
  <c r="I27" i="10" s="1"/>
  <c r="V27" i="10" s="1"/>
  <c r="G37" i="10"/>
  <c r="I37" i="10" s="1"/>
  <c r="V37" i="10" s="1"/>
  <c r="I36" i="10"/>
  <c r="J36" i="10" s="1"/>
  <c r="L36" i="10" s="1"/>
  <c r="U94" i="10"/>
  <c r="J6" i="13" s="1"/>
  <c r="G6" i="13"/>
  <c r="O20" i="10"/>
  <c r="D6" i="13"/>
  <c r="F6" i="13" s="1"/>
  <c r="U93" i="10"/>
  <c r="J8" i="13" s="1"/>
  <c r="O66" i="10"/>
  <c r="O90" i="10"/>
  <c r="R93" i="10"/>
  <c r="U47" i="11"/>
  <c r="T49" i="11" s="1"/>
  <c r="R94" i="11"/>
  <c r="W99" i="11"/>
  <c r="Y6" i="11"/>
  <c r="J6" i="11"/>
  <c r="Y78" i="11"/>
  <c r="J78" i="11"/>
  <c r="X78" i="11" s="1"/>
  <c r="Y88" i="11"/>
  <c r="J88" i="11"/>
  <c r="X88" i="11" s="1"/>
  <c r="Q94" i="11"/>
  <c r="J29" i="11"/>
  <c r="K29" i="11" s="1"/>
  <c r="N29" i="11" s="1"/>
  <c r="AB29" i="11" s="1"/>
  <c r="J11" i="11"/>
  <c r="Y11" i="11"/>
  <c r="J15" i="11"/>
  <c r="Y15" i="11"/>
  <c r="K31" i="11"/>
  <c r="Y31" i="11"/>
  <c r="AA100" i="11"/>
  <c r="AA99" i="11"/>
  <c r="J63" i="11"/>
  <c r="X63" i="11" s="1"/>
  <c r="Y63" i="11"/>
  <c r="J66" i="11"/>
  <c r="X66" i="11" s="1"/>
  <c r="Y66" i="11"/>
  <c r="J76" i="11"/>
  <c r="K76" i="11" s="1"/>
  <c r="N76" i="11" s="1"/>
  <c r="AB76" i="11" s="1"/>
  <c r="W72" i="10"/>
  <c r="V72" i="10"/>
  <c r="J81" i="10"/>
  <c r="L81" i="10" s="1"/>
  <c r="W82" i="10"/>
  <c r="V82" i="10"/>
  <c r="O43" i="10"/>
  <c r="O93" i="10" s="1"/>
  <c r="O95" i="10" s="1"/>
  <c r="V6" i="10"/>
  <c r="W6" i="10"/>
  <c r="Z6" i="10"/>
  <c r="Z18" i="10" s="1"/>
  <c r="S18" i="10"/>
  <c r="R66" i="10"/>
  <c r="J70" i="10"/>
  <c r="L70" i="10" s="1"/>
  <c r="Z70" i="10" s="1"/>
  <c r="J25" i="10"/>
  <c r="L25" i="10" s="1"/>
  <c r="Z25" i="10" s="1"/>
  <c r="J54" i="11" l="1"/>
  <c r="X54" i="11" s="1"/>
  <c r="X70" i="11" s="1"/>
  <c r="T99" i="11"/>
  <c r="T101" i="11" s="1"/>
  <c r="U94" i="11"/>
  <c r="T96" i="11" s="1"/>
  <c r="Y59" i="11"/>
  <c r="Y70" i="11" s="1"/>
  <c r="R99" i="11"/>
  <c r="R101" i="11" s="1"/>
  <c r="W37" i="10"/>
  <c r="I52" i="10"/>
  <c r="V52" i="10" s="1"/>
  <c r="Y94" i="11"/>
  <c r="K66" i="11"/>
  <c r="AB66" i="11" s="1"/>
  <c r="J41" i="11"/>
  <c r="X41" i="11" s="1"/>
  <c r="X47" i="11" s="1"/>
  <c r="Q96" i="11"/>
  <c r="X15" i="11"/>
  <c r="K15" i="11"/>
  <c r="N15" i="11" s="1"/>
  <c r="X6" i="11"/>
  <c r="K6" i="11"/>
  <c r="N6" i="11" s="1"/>
  <c r="K63" i="11"/>
  <c r="AB63" i="11" s="1"/>
  <c r="X11" i="11"/>
  <c r="K11" i="11"/>
  <c r="N11" i="11" s="1"/>
  <c r="W27" i="10"/>
  <c r="S88" i="10"/>
  <c r="R90" i="10" s="1"/>
  <c r="Q95" i="10"/>
  <c r="W88" i="10"/>
  <c r="J27" i="10"/>
  <c r="Z27" i="10" s="1"/>
  <c r="V43" i="10"/>
  <c r="Y93" i="10"/>
  <c r="N8" i="13" s="1"/>
  <c r="N7" i="13" s="1"/>
  <c r="J37" i="10"/>
  <c r="Z37" i="10" s="1"/>
  <c r="U95" i="10"/>
  <c r="S94" i="10"/>
  <c r="H6" i="13" s="1"/>
  <c r="I6" i="13" s="1"/>
  <c r="J7" i="13"/>
  <c r="G8" i="13"/>
  <c r="W64" i="10"/>
  <c r="V64" i="10"/>
  <c r="R95" i="10"/>
  <c r="Y47" i="11"/>
  <c r="Q99" i="11"/>
  <c r="K78" i="11"/>
  <c r="AB78" i="11" s="1"/>
  <c r="K59" i="11"/>
  <c r="AA101" i="11"/>
  <c r="AB31" i="11"/>
  <c r="N31" i="11"/>
  <c r="K88" i="11"/>
  <c r="X94" i="11"/>
  <c r="W101" i="11"/>
  <c r="J72" i="10"/>
  <c r="L72" i="10" s="1"/>
  <c r="W18" i="10"/>
  <c r="V18" i="10"/>
  <c r="R20" i="10"/>
  <c r="O45" i="10"/>
  <c r="J82" i="10"/>
  <c r="V88" i="10"/>
  <c r="R39" i="4"/>
  <c r="R37" i="4"/>
  <c r="O38" i="4"/>
  <c r="O37" i="4"/>
  <c r="L37" i="4"/>
  <c r="R27" i="4"/>
  <c r="O27" i="4"/>
  <c r="R29" i="4"/>
  <c r="W43" i="10" l="1"/>
  <c r="U45" i="10" s="1"/>
  <c r="K54" i="11"/>
  <c r="AB54" i="11" s="1"/>
  <c r="S99" i="11"/>
  <c r="N66" i="11"/>
  <c r="U90" i="10"/>
  <c r="N63" i="11"/>
  <c r="N78" i="11"/>
  <c r="J52" i="10"/>
  <c r="W96" i="11"/>
  <c r="S93" i="10"/>
  <c r="R101" i="10" s="1"/>
  <c r="L37" i="10"/>
  <c r="K41" i="11"/>
  <c r="W49" i="11"/>
  <c r="AB15" i="11"/>
  <c r="AB11" i="11"/>
  <c r="Q101" i="11"/>
  <c r="L27" i="10"/>
  <c r="Y95" i="10"/>
  <c r="U66" i="10"/>
  <c r="T94" i="10"/>
  <c r="G7" i="13"/>
  <c r="D8" i="13"/>
  <c r="Q93" i="10"/>
  <c r="E8" i="13"/>
  <c r="E7" i="13" s="1"/>
  <c r="Z72" i="10"/>
  <c r="V93" i="10"/>
  <c r="K8" i="13" s="1"/>
  <c r="V94" i="10"/>
  <c r="K6" i="13" s="1"/>
  <c r="W72" i="11"/>
  <c r="AB6" i="11"/>
  <c r="N88" i="11"/>
  <c r="AB88" i="11"/>
  <c r="AB94" i="11" s="1"/>
  <c r="AA96" i="11" s="1"/>
  <c r="N59" i="11"/>
  <c r="AB59" i="11"/>
  <c r="W93" i="10"/>
  <c r="W94" i="10"/>
  <c r="Z43" i="10"/>
  <c r="Y45" i="10" s="1"/>
  <c r="U20" i="10"/>
  <c r="L82" i="10"/>
  <c r="Z82" i="10"/>
  <c r="U39" i="4"/>
  <c r="S39" i="4"/>
  <c r="Q38" i="4"/>
  <c r="P38" i="4"/>
  <c r="U29" i="4"/>
  <c r="S29" i="4"/>
  <c r="L69" i="4"/>
  <c r="M69" i="4" s="1"/>
  <c r="C16" i="4"/>
  <c r="C12" i="4"/>
  <c r="AB70" i="11" l="1"/>
  <c r="AA72" i="11" s="1"/>
  <c r="N54" i="11"/>
  <c r="H8" i="13"/>
  <c r="H7" i="13" s="1"/>
  <c r="I7" i="13" s="1"/>
  <c r="T93" i="10"/>
  <c r="S95" i="10"/>
  <c r="Z88" i="10"/>
  <c r="Y90" i="10" s="1"/>
  <c r="Z52" i="10"/>
  <c r="Z64" i="10" s="1"/>
  <c r="Y66" i="10" s="1"/>
  <c r="L52" i="10"/>
  <c r="L28" i="4"/>
  <c r="M28" i="4" s="1"/>
  <c r="M15" i="4"/>
  <c r="N41" i="11"/>
  <c r="AB41" i="11"/>
  <c r="AB47" i="11" s="1"/>
  <c r="AA49" i="11" s="1"/>
  <c r="M73" i="4"/>
  <c r="M72" i="4"/>
  <c r="M71" i="4"/>
  <c r="L67" i="4"/>
  <c r="M67" i="4" s="1"/>
  <c r="K7" i="13"/>
  <c r="U101" i="10"/>
  <c r="L8" i="13"/>
  <c r="X94" i="10"/>
  <c r="L6" i="13"/>
  <c r="M6" i="13" s="1"/>
  <c r="F8" i="13"/>
  <c r="D7" i="13"/>
  <c r="F7" i="13" s="1"/>
  <c r="V95" i="10"/>
  <c r="W95" i="10"/>
  <c r="X93" i="10"/>
  <c r="M26" i="4"/>
  <c r="M31" i="4"/>
  <c r="M32" i="4"/>
  <c r="M30" i="4"/>
  <c r="J55" i="6"/>
  <c r="I46" i="6"/>
  <c r="K46" i="6" s="1"/>
  <c r="I48" i="6"/>
  <c r="K48" i="6" s="1"/>
  <c r="I50" i="6"/>
  <c r="K50" i="6" s="1"/>
  <c r="I52" i="6"/>
  <c r="K52" i="6" s="1"/>
  <c r="I45" i="6"/>
  <c r="F46" i="6"/>
  <c r="F47" i="6"/>
  <c r="I47" i="6" s="1"/>
  <c r="K47" i="6" s="1"/>
  <c r="F48" i="6"/>
  <c r="F49" i="6"/>
  <c r="I49" i="6" s="1"/>
  <c r="K49" i="6" s="1"/>
  <c r="F50" i="6"/>
  <c r="F51" i="6"/>
  <c r="I51" i="6" s="1"/>
  <c r="K51" i="6" s="1"/>
  <c r="F52" i="6"/>
  <c r="F53" i="6"/>
  <c r="I53" i="6" s="1"/>
  <c r="K53" i="6" s="1"/>
  <c r="F45" i="6"/>
  <c r="J43" i="6"/>
  <c r="I35" i="6"/>
  <c r="K35" i="6" s="1"/>
  <c r="I37" i="6"/>
  <c r="K37" i="6" s="1"/>
  <c r="I39" i="6"/>
  <c r="K39" i="6" s="1"/>
  <c r="I41" i="6"/>
  <c r="K41" i="6" s="1"/>
  <c r="F34" i="6"/>
  <c r="I34" i="6" s="1"/>
  <c r="K34" i="6" s="1"/>
  <c r="F35" i="6"/>
  <c r="F36" i="6"/>
  <c r="I36" i="6" s="1"/>
  <c r="K36" i="6" s="1"/>
  <c r="F37" i="6"/>
  <c r="F38" i="6"/>
  <c r="I38" i="6" s="1"/>
  <c r="K38" i="6" s="1"/>
  <c r="F39" i="6"/>
  <c r="F40" i="6"/>
  <c r="I40" i="6" s="1"/>
  <c r="K40" i="6" s="1"/>
  <c r="F41" i="6"/>
  <c r="F33" i="6"/>
  <c r="I33" i="6" s="1"/>
  <c r="F29" i="6"/>
  <c r="I29" i="6" s="1"/>
  <c r="F28" i="6"/>
  <c r="I28" i="6" s="1"/>
  <c r="J28" i="6" s="1"/>
  <c r="F27" i="6"/>
  <c r="I27" i="6" s="1"/>
  <c r="F26" i="6"/>
  <c r="I26" i="6" s="1"/>
  <c r="J26" i="6" s="1"/>
  <c r="I10" i="6"/>
  <c r="F20" i="6"/>
  <c r="I20" i="6" s="1"/>
  <c r="J20" i="6" s="1"/>
  <c r="F21" i="6"/>
  <c r="I21" i="6" s="1"/>
  <c r="J21" i="6" s="1"/>
  <c r="F22" i="6"/>
  <c r="I22" i="6" s="1"/>
  <c r="J22" i="6" s="1"/>
  <c r="F19" i="6"/>
  <c r="I19" i="6" s="1"/>
  <c r="J19" i="6" s="1"/>
  <c r="I4" i="6"/>
  <c r="J4" i="6" s="1"/>
  <c r="I11" i="6"/>
  <c r="J11" i="6" s="1"/>
  <c r="G7" i="3"/>
  <c r="F8" i="3"/>
  <c r="F7" i="3"/>
  <c r="F9" i="3" s="1"/>
  <c r="G5" i="3"/>
  <c r="F5" i="3"/>
  <c r="H5" i="3" s="1"/>
  <c r="M85" i="5"/>
  <c r="D70" i="5"/>
  <c r="D27" i="5"/>
  <c r="K60" i="5"/>
  <c r="K57" i="5"/>
  <c r="K53" i="5"/>
  <c r="K48" i="5"/>
  <c r="C48" i="5"/>
  <c r="K18" i="5"/>
  <c r="K15" i="5"/>
  <c r="K11" i="5"/>
  <c r="K6" i="5"/>
  <c r="N39" i="5"/>
  <c r="N31" i="5"/>
  <c r="P31" i="5" s="1"/>
  <c r="N29" i="5"/>
  <c r="N6" i="5"/>
  <c r="Q18" i="5"/>
  <c r="N82" i="5"/>
  <c r="Q82" i="5"/>
  <c r="N83" i="5"/>
  <c r="N74" i="5"/>
  <c r="P74" i="5" s="1"/>
  <c r="Q72" i="5"/>
  <c r="N72" i="5"/>
  <c r="N40" i="5"/>
  <c r="Q39" i="5"/>
  <c r="Q29" i="5"/>
  <c r="N48" i="5"/>
  <c r="Q60" i="5"/>
  <c r="N60" i="5"/>
  <c r="N73" i="5" s="1"/>
  <c r="O73" i="5" s="1"/>
  <c r="Q57" i="5"/>
  <c r="N57" i="5"/>
  <c r="N71" i="5" s="1"/>
  <c r="Q53" i="5"/>
  <c r="N53" i="5"/>
  <c r="Q48" i="5"/>
  <c r="Q6" i="5"/>
  <c r="Q15" i="5"/>
  <c r="Q11" i="5"/>
  <c r="N18" i="5"/>
  <c r="N30" i="5" s="1"/>
  <c r="N15" i="5"/>
  <c r="N28" i="5" s="1"/>
  <c r="N11" i="5"/>
  <c r="C83" i="5"/>
  <c r="C74" i="5"/>
  <c r="C40" i="5"/>
  <c r="C31" i="5"/>
  <c r="O31" i="5" s="1"/>
  <c r="C78" i="4"/>
  <c r="C77" i="4"/>
  <c r="C73" i="4"/>
  <c r="C72" i="4"/>
  <c r="C71" i="4"/>
  <c r="C69" i="4"/>
  <c r="C68" i="4"/>
  <c r="C67" i="4"/>
  <c r="C37" i="4"/>
  <c r="C36" i="4"/>
  <c r="C31" i="4"/>
  <c r="C30" i="4"/>
  <c r="C28" i="4"/>
  <c r="C27" i="4"/>
  <c r="I27" i="4" s="1"/>
  <c r="C26" i="4"/>
  <c r="C18" i="5"/>
  <c r="F18" i="5" s="1"/>
  <c r="C70" i="5"/>
  <c r="P70" i="5" s="1"/>
  <c r="C60" i="5"/>
  <c r="H60" i="5" s="1"/>
  <c r="C59" i="5"/>
  <c r="C58" i="5"/>
  <c r="C57" i="5"/>
  <c r="M57" i="5" s="1"/>
  <c r="C55" i="5"/>
  <c r="C54" i="5"/>
  <c r="C53" i="5"/>
  <c r="C50" i="5"/>
  <c r="C49" i="5"/>
  <c r="C27" i="5"/>
  <c r="C17" i="5"/>
  <c r="C16" i="5"/>
  <c r="C15" i="5"/>
  <c r="C13" i="5"/>
  <c r="C12" i="5"/>
  <c r="C11" i="5"/>
  <c r="M11" i="5" s="1"/>
  <c r="C8" i="5"/>
  <c r="C7" i="5"/>
  <c r="C6" i="5"/>
  <c r="C49" i="4"/>
  <c r="C57" i="4"/>
  <c r="C56" i="4"/>
  <c r="C55" i="4"/>
  <c r="C54" i="4"/>
  <c r="N54" i="4" s="1"/>
  <c r="C50" i="4"/>
  <c r="C11" i="4"/>
  <c r="C7" i="4"/>
  <c r="C6" i="4"/>
  <c r="N6" i="4" s="1"/>
  <c r="N49" i="4" l="1"/>
  <c r="D11" i="4"/>
  <c r="D6" i="4"/>
  <c r="E6" i="4" s="1"/>
  <c r="D57" i="4"/>
  <c r="I57" i="4"/>
  <c r="F57" i="4"/>
  <c r="F49" i="4"/>
  <c r="P49" i="4" s="1"/>
  <c r="I54" i="4"/>
  <c r="D54" i="4"/>
  <c r="M54" i="4" s="1"/>
  <c r="I49" i="4"/>
  <c r="D49" i="4"/>
  <c r="M49" i="4" s="1"/>
  <c r="F54" i="4"/>
  <c r="E11" i="4"/>
  <c r="N11" i="4"/>
  <c r="I8" i="13"/>
  <c r="S6" i="4"/>
  <c r="N78" i="4"/>
  <c r="N68" i="4"/>
  <c r="C73" i="5"/>
  <c r="P73" i="5" s="1"/>
  <c r="N69" i="4"/>
  <c r="G8" i="3"/>
  <c r="H8" i="3" s="1"/>
  <c r="M6" i="5"/>
  <c r="C75" i="5"/>
  <c r="N71" i="4"/>
  <c r="H7" i="3"/>
  <c r="L27" i="5"/>
  <c r="L42" i="5" s="1"/>
  <c r="D6" i="5"/>
  <c r="L6" i="5" s="1"/>
  <c r="C71" i="5"/>
  <c r="P71" i="5" s="1"/>
  <c r="N67" i="4"/>
  <c r="C76" i="5"/>
  <c r="N72" i="4"/>
  <c r="M48" i="5"/>
  <c r="M60" i="5"/>
  <c r="C77" i="5"/>
  <c r="N73" i="4"/>
  <c r="L7" i="13"/>
  <c r="M7" i="13" s="1"/>
  <c r="M8" i="13"/>
  <c r="Z93" i="10"/>
  <c r="Z94" i="10"/>
  <c r="AA94" i="10" s="1"/>
  <c r="Y20" i="10"/>
  <c r="F66" i="4"/>
  <c r="I66" i="4"/>
  <c r="I77" i="4"/>
  <c r="I37" i="4"/>
  <c r="N57" i="4"/>
  <c r="C38" i="5"/>
  <c r="F38" i="5" s="1"/>
  <c r="G38" i="5" s="1"/>
  <c r="C81" i="5"/>
  <c r="F81" i="5" s="1"/>
  <c r="G81" i="5" s="1"/>
  <c r="C72" i="5"/>
  <c r="F72" i="5" s="1"/>
  <c r="G72" i="5" s="1"/>
  <c r="C82" i="5"/>
  <c r="H82" i="5" s="1"/>
  <c r="R82" i="5" s="1"/>
  <c r="C30" i="5"/>
  <c r="P30" i="5" s="1"/>
  <c r="N28" i="4"/>
  <c r="C28" i="5"/>
  <c r="N26" i="4"/>
  <c r="C33" i="5"/>
  <c r="N31" i="4"/>
  <c r="D11" i="5"/>
  <c r="L11" i="5" s="1"/>
  <c r="H6" i="5"/>
  <c r="R6" i="5" s="1"/>
  <c r="C29" i="5"/>
  <c r="F29" i="5" s="1"/>
  <c r="G29" i="5" s="1"/>
  <c r="N27" i="4"/>
  <c r="C32" i="5"/>
  <c r="N30" i="4"/>
  <c r="C34" i="5"/>
  <c r="N32" i="4"/>
  <c r="C39" i="5"/>
  <c r="F39" i="5" s="1"/>
  <c r="N37" i="4"/>
  <c r="D15" i="5"/>
  <c r="E15" i="5" s="1"/>
  <c r="P15" i="5" s="1"/>
  <c r="F60" i="5"/>
  <c r="O60" i="5" s="1"/>
  <c r="P15" i="4"/>
  <c r="N15" i="4"/>
  <c r="N18" i="4" s="1"/>
  <c r="H15" i="5"/>
  <c r="R15" i="5" s="1"/>
  <c r="S49" i="4"/>
  <c r="P54" i="4"/>
  <c r="P11" i="4"/>
  <c r="D48" i="5"/>
  <c r="E48" i="5" s="1"/>
  <c r="P48" i="5" s="1"/>
  <c r="D57" i="5"/>
  <c r="E57" i="5" s="1"/>
  <c r="P57" i="5" s="1"/>
  <c r="H57" i="5"/>
  <c r="R57" i="5" s="1"/>
  <c r="H48" i="5"/>
  <c r="R48" i="5" s="1"/>
  <c r="F27" i="5"/>
  <c r="M15" i="5"/>
  <c r="D18" i="5"/>
  <c r="E18" i="5" s="1"/>
  <c r="H11" i="5"/>
  <c r="R11" i="5" s="1"/>
  <c r="S11" i="4"/>
  <c r="D53" i="5"/>
  <c r="E53" i="5" s="1"/>
  <c r="D60" i="5"/>
  <c r="E60" i="5" s="1"/>
  <c r="H53" i="5"/>
  <c r="R53" i="5" s="1"/>
  <c r="F57" i="5"/>
  <c r="L57" i="5"/>
  <c r="L70" i="5"/>
  <c r="L85" i="5" s="1"/>
  <c r="M18" i="5"/>
  <c r="J24" i="6"/>
  <c r="K21" i="6"/>
  <c r="K22" i="6"/>
  <c r="K28" i="6"/>
  <c r="J27" i="6"/>
  <c r="J29" i="6"/>
  <c r="K29" i="6" s="1"/>
  <c r="K19" i="6"/>
  <c r="I55" i="6"/>
  <c r="K45" i="6"/>
  <c r="K55" i="6" s="1"/>
  <c r="I43" i="6"/>
  <c r="K33" i="6"/>
  <c r="K43" i="6" s="1"/>
  <c r="M53" i="5"/>
  <c r="I31" i="6"/>
  <c r="K26" i="6"/>
  <c r="I24" i="6"/>
  <c r="K20" i="6"/>
  <c r="K16" i="6"/>
  <c r="I6" i="6"/>
  <c r="K4" i="6"/>
  <c r="K6" i="6" s="1"/>
  <c r="K11" i="6"/>
  <c r="J10" i="6"/>
  <c r="K10" i="6" s="1"/>
  <c r="I13" i="6"/>
  <c r="M42" i="5"/>
  <c r="P40" i="5"/>
  <c r="P83" i="5"/>
  <c r="O74" i="5"/>
  <c r="N75" i="5"/>
  <c r="N77" i="5"/>
  <c r="O71" i="5"/>
  <c r="N76" i="5"/>
  <c r="N32" i="5"/>
  <c r="O32" i="5" s="1"/>
  <c r="O40" i="5"/>
  <c r="O30" i="5"/>
  <c r="O28" i="5"/>
  <c r="N34" i="5"/>
  <c r="N33" i="5"/>
  <c r="O83" i="5"/>
  <c r="O18" i="5"/>
  <c r="P27" i="5"/>
  <c r="F70" i="5"/>
  <c r="H18" i="5"/>
  <c r="R18" i="5" s="1"/>
  <c r="H70" i="5"/>
  <c r="H27" i="5"/>
  <c r="R60" i="5"/>
  <c r="E49" i="4" l="1"/>
  <c r="G49" i="4"/>
  <c r="H49" i="4" s="1"/>
  <c r="J49" i="4" s="1"/>
  <c r="G11" i="4"/>
  <c r="H11" i="4" s="1"/>
  <c r="J11" i="4" s="1"/>
  <c r="G6" i="4"/>
  <c r="H6" i="4" s="1"/>
  <c r="J6" i="4" s="1"/>
  <c r="M11" i="4"/>
  <c r="M6" i="4"/>
  <c r="G60" i="5"/>
  <c r="I60" i="5" s="1"/>
  <c r="M63" i="5"/>
  <c r="L53" i="5"/>
  <c r="P6" i="4"/>
  <c r="P18" i="4" s="1"/>
  <c r="P60" i="5"/>
  <c r="L60" i="5"/>
  <c r="M21" i="5"/>
  <c r="L15" i="5"/>
  <c r="E11" i="5"/>
  <c r="P11" i="5" s="1"/>
  <c r="L18" i="5"/>
  <c r="F48" i="5"/>
  <c r="O48" i="5" s="1"/>
  <c r="F53" i="5"/>
  <c r="G53" i="5" s="1"/>
  <c r="I53" i="5" s="1"/>
  <c r="S53" i="5" s="1"/>
  <c r="P76" i="5"/>
  <c r="P66" i="4"/>
  <c r="S66" i="4"/>
  <c r="P32" i="5"/>
  <c r="E6" i="5"/>
  <c r="O76" i="5"/>
  <c r="L48" i="5"/>
  <c r="H9" i="3"/>
  <c r="G9" i="3"/>
  <c r="O6" i="13"/>
  <c r="P6" i="13" s="1"/>
  <c r="Y101" i="10"/>
  <c r="O8" i="13"/>
  <c r="Z95" i="10"/>
  <c r="AA93" i="10"/>
  <c r="F11" i="5"/>
  <c r="O11" i="5" s="1"/>
  <c r="F82" i="5"/>
  <c r="G82" i="5" s="1"/>
  <c r="I82" i="5" s="1"/>
  <c r="S82" i="5" s="1"/>
  <c r="H38" i="5"/>
  <c r="I38" i="5" s="1"/>
  <c r="H29" i="5"/>
  <c r="R29" i="5" s="1"/>
  <c r="P39" i="5"/>
  <c r="F15" i="5"/>
  <c r="O15" i="5" s="1"/>
  <c r="H81" i="5"/>
  <c r="I81" i="5" s="1"/>
  <c r="N60" i="4"/>
  <c r="P72" i="5"/>
  <c r="O72" i="5"/>
  <c r="H72" i="5"/>
  <c r="R72" i="5" s="1"/>
  <c r="R85" i="5" s="1"/>
  <c r="P82" i="5"/>
  <c r="H39" i="5"/>
  <c r="R39" i="5" s="1"/>
  <c r="N42" i="4"/>
  <c r="N83" i="4"/>
  <c r="P28" i="5"/>
  <c r="F6" i="5"/>
  <c r="O6" i="5" s="1"/>
  <c r="G39" i="5"/>
  <c r="O39" i="5"/>
  <c r="O29" i="5"/>
  <c r="P29" i="5"/>
  <c r="S54" i="4"/>
  <c r="S57" i="4"/>
  <c r="G18" i="5"/>
  <c r="I18" i="5" s="1"/>
  <c r="P18" i="5"/>
  <c r="P53" i="5"/>
  <c r="G57" i="5"/>
  <c r="I57" i="5" s="1"/>
  <c r="S57" i="5" s="1"/>
  <c r="P6" i="5"/>
  <c r="K24" i="6"/>
  <c r="J31" i="6"/>
  <c r="J62" i="6" s="1"/>
  <c r="K27" i="6"/>
  <c r="K31" i="6" s="1"/>
  <c r="K13" i="6"/>
  <c r="G70" i="5"/>
  <c r="I70" i="5" s="1"/>
  <c r="S70" i="5" s="1"/>
  <c r="O70" i="5"/>
  <c r="P77" i="5"/>
  <c r="O77" i="5"/>
  <c r="O75" i="5"/>
  <c r="P75" i="5"/>
  <c r="O33" i="5"/>
  <c r="P33" i="5"/>
  <c r="O34" i="5"/>
  <c r="P34" i="5"/>
  <c r="R63" i="5"/>
  <c r="R21" i="5"/>
  <c r="O57" i="5"/>
  <c r="G27" i="5"/>
  <c r="I27" i="5" s="1"/>
  <c r="S27" i="5" s="1"/>
  <c r="O27" i="5"/>
  <c r="S60" i="5"/>
  <c r="E54" i="4"/>
  <c r="P57" i="4"/>
  <c r="P60" i="4" s="1"/>
  <c r="Q15" i="4"/>
  <c r="S15" i="4"/>
  <c r="G54" i="4" l="1"/>
  <c r="H54" i="4"/>
  <c r="J54" i="4" s="1"/>
  <c r="M18" i="4"/>
  <c r="M20" i="4" s="1"/>
  <c r="Q54" i="4"/>
  <c r="Q49" i="4"/>
  <c r="O53" i="5"/>
  <c r="O63" i="5" s="1"/>
  <c r="P63" i="5"/>
  <c r="M89" i="5"/>
  <c r="G48" i="5"/>
  <c r="I48" i="5" s="1"/>
  <c r="S48" i="5" s="1"/>
  <c r="S63" i="5" s="1"/>
  <c r="L63" i="5"/>
  <c r="Q11" i="4"/>
  <c r="L21" i="5"/>
  <c r="P21" i="5"/>
  <c r="G11" i="5"/>
  <c r="I11" i="5" s="1"/>
  <c r="S11" i="5" s="1"/>
  <c r="I29" i="5"/>
  <c r="S29" i="5" s="1"/>
  <c r="Q6" i="4"/>
  <c r="O7" i="13"/>
  <c r="P7" i="13" s="1"/>
  <c r="P8" i="13"/>
  <c r="O82" i="5"/>
  <c r="O85" i="5" s="1"/>
  <c r="G15" i="5"/>
  <c r="I15" i="5" s="1"/>
  <c r="S15" i="5" s="1"/>
  <c r="R42" i="5"/>
  <c r="R89" i="5" s="1"/>
  <c r="S18" i="4"/>
  <c r="G6" i="5"/>
  <c r="I6" i="5" s="1"/>
  <c r="S6" i="5" s="1"/>
  <c r="I72" i="5"/>
  <c r="S72" i="5" s="1"/>
  <c r="S85" i="5" s="1"/>
  <c r="O42" i="5"/>
  <c r="N88" i="4"/>
  <c r="O21" i="5"/>
  <c r="S60" i="4"/>
  <c r="I39" i="5"/>
  <c r="S39" i="5" s="1"/>
  <c r="S42" i="5" s="1"/>
  <c r="E57" i="4"/>
  <c r="Q57" i="4" s="1"/>
  <c r="M57" i="4"/>
  <c r="M60" i="4" s="1"/>
  <c r="K62" i="6"/>
  <c r="P85" i="5"/>
  <c r="P42" i="5"/>
  <c r="T11" i="4"/>
  <c r="T15" i="4"/>
  <c r="I78" i="4"/>
  <c r="S78" i="4" s="1"/>
  <c r="F78" i="4"/>
  <c r="P78" i="4" s="1"/>
  <c r="D78" i="4"/>
  <c r="M78" i="4" s="1"/>
  <c r="F77" i="4"/>
  <c r="D77" i="4"/>
  <c r="E77" i="4" s="1"/>
  <c r="I68" i="4"/>
  <c r="S68" i="4" s="1"/>
  <c r="F68" i="4"/>
  <c r="P68" i="4" s="1"/>
  <c r="D68" i="4"/>
  <c r="M68" i="4" s="1"/>
  <c r="D66" i="4"/>
  <c r="S37" i="4"/>
  <c r="F37" i="4"/>
  <c r="P37" i="4" s="1"/>
  <c r="D37" i="4"/>
  <c r="I36" i="4"/>
  <c r="F36" i="4"/>
  <c r="D36" i="4"/>
  <c r="E36" i="4" s="1"/>
  <c r="F27" i="4"/>
  <c r="P27" i="4" s="1"/>
  <c r="D20" i="2"/>
  <c r="D22" i="2" s="1"/>
  <c r="D18" i="2"/>
  <c r="L89" i="5" l="1"/>
  <c r="G12" i="3" s="1"/>
  <c r="O23" i="5"/>
  <c r="Q60" i="4"/>
  <c r="G57" i="4"/>
  <c r="H57" i="4" s="1"/>
  <c r="J57" i="4" s="1"/>
  <c r="Q18" i="4"/>
  <c r="P20" i="4" s="1"/>
  <c r="S27" i="4"/>
  <c r="G27" i="4"/>
  <c r="T27" i="4" s="1"/>
  <c r="T54" i="4"/>
  <c r="T49" i="4"/>
  <c r="P89" i="5"/>
  <c r="U15" i="4"/>
  <c r="U11" i="4"/>
  <c r="E66" i="4"/>
  <c r="E68" i="4"/>
  <c r="Q68" i="4" s="1"/>
  <c r="E78" i="4"/>
  <c r="Q78" i="4" s="1"/>
  <c r="E37" i="4"/>
  <c r="Q37" i="4" s="1"/>
  <c r="M37" i="4"/>
  <c r="E27" i="4"/>
  <c r="Q27" i="4" s="1"/>
  <c r="M27" i="4"/>
  <c r="P42" i="4"/>
  <c r="M62" i="4"/>
  <c r="U49" i="4"/>
  <c r="U54" i="4"/>
  <c r="O89" i="5"/>
  <c r="H77" i="4"/>
  <c r="H36" i="4"/>
  <c r="G36" i="4" l="1"/>
  <c r="J36" i="4"/>
  <c r="S42" i="4"/>
  <c r="H78" i="4"/>
  <c r="G78" i="4" s="1"/>
  <c r="T78" i="4" s="1"/>
  <c r="G77" i="4"/>
  <c r="J77" i="4" s="1"/>
  <c r="T57" i="4"/>
  <c r="T60" i="4" s="1"/>
  <c r="U66" i="4"/>
  <c r="M66" i="4"/>
  <c r="M83" i="4" s="1"/>
  <c r="M85" i="4" s="1"/>
  <c r="Q42" i="4"/>
  <c r="P44" i="4" s="1"/>
  <c r="H66" i="4"/>
  <c r="P83" i="4"/>
  <c r="P88" i="4" s="1"/>
  <c r="S83" i="4"/>
  <c r="Q83" i="4"/>
  <c r="H37" i="4"/>
  <c r="H68" i="4"/>
  <c r="H27" i="4"/>
  <c r="J27" i="4" s="1"/>
  <c r="M42" i="4"/>
  <c r="U57" i="4"/>
  <c r="S18" i="5"/>
  <c r="S21" i="5" s="1"/>
  <c r="G37" i="4" l="1"/>
  <c r="T37" i="4" s="1"/>
  <c r="T42" i="4" s="1"/>
  <c r="J37" i="4"/>
  <c r="S88" i="4"/>
  <c r="S89" i="4" s="1"/>
  <c r="M44" i="4"/>
  <c r="M88" i="4"/>
  <c r="M93" i="4" s="1"/>
  <c r="U78" i="4"/>
  <c r="G66" i="4"/>
  <c r="J66" i="4" s="1"/>
  <c r="J78" i="4"/>
  <c r="G68" i="4"/>
  <c r="T68" i="4" s="1"/>
  <c r="T83" i="4" s="1"/>
  <c r="U68" i="4"/>
  <c r="U37" i="4"/>
  <c r="P85" i="4"/>
  <c r="U27" i="4"/>
  <c r="Q88" i="4"/>
  <c r="Q89" i="4" s="1"/>
  <c r="U60" i="4"/>
  <c r="S62" i="4" s="1"/>
  <c r="S89" i="5"/>
  <c r="H12" i="3" s="1"/>
  <c r="R23" i="5"/>
  <c r="U83" i="4" l="1"/>
  <c r="S85" i="4" s="1"/>
  <c r="J68" i="4"/>
  <c r="U42" i="4"/>
  <c r="S44" i="4" s="1"/>
  <c r="P62" i="4"/>
  <c r="P93" i="4" l="1"/>
  <c r="P89" i="4"/>
  <c r="Y18" i="11" l="1"/>
  <c r="Y22" i="11"/>
  <c r="Y100" i="11" s="1"/>
  <c r="Z100" i="11" s="1"/>
  <c r="E18" i="11"/>
  <c r="U18" i="11" s="1"/>
  <c r="U22" i="11" s="1"/>
  <c r="J18" i="11"/>
  <c r="K18" i="11" s="1"/>
  <c r="U99" i="11" l="1"/>
  <c r="U100" i="11"/>
  <c r="V100" i="11" s="1"/>
  <c r="T24" i="11"/>
  <c r="N18" i="11"/>
  <c r="AB18" i="11"/>
  <c r="AB22" i="11" s="1"/>
  <c r="X18" i="11"/>
  <c r="X22" i="11" s="1"/>
  <c r="Y99" i="11"/>
  <c r="Y101" i="11" l="1"/>
  <c r="Z99" i="11"/>
  <c r="W107" i="11"/>
  <c r="W24" i="11"/>
  <c r="X100" i="11"/>
  <c r="X99" i="11"/>
  <c r="AB99" i="11"/>
  <c r="AB100" i="11"/>
  <c r="AC100" i="11" s="1"/>
  <c r="AA24" i="11"/>
  <c r="U101" i="11"/>
  <c r="V99" i="11"/>
  <c r="T107" i="11"/>
  <c r="X101" i="11" l="1"/>
  <c r="AA107" i="11"/>
  <c r="AB101" i="11"/>
  <c r="AC99" i="11"/>
  <c r="U6" i="4"/>
  <c r="U18" i="4" s="1"/>
  <c r="T6" i="4"/>
  <c r="T18" i="4" s="1"/>
  <c r="U88" i="4" l="1"/>
  <c r="U89" i="4" s="1"/>
  <c r="S20" i="4"/>
  <c r="S93" i="4" l="1"/>
</calcChain>
</file>

<file path=xl/sharedStrings.xml><?xml version="1.0" encoding="utf-8"?>
<sst xmlns="http://schemas.openxmlformats.org/spreadsheetml/2006/main" count="3690" uniqueCount="216">
  <si>
    <t>Installation</t>
  </si>
  <si>
    <t>Single User (RM)</t>
  </si>
  <si>
    <t>Multi User (RM)</t>
  </si>
  <si>
    <t>Quantity</t>
  </si>
  <si>
    <t>Unit Price (RM)</t>
  </si>
  <si>
    <t>Total Price (RM)</t>
  </si>
  <si>
    <t>Item</t>
  </si>
  <si>
    <t>Ad-Hoc maintenance</t>
  </si>
  <si>
    <t>On-site Support</t>
  </si>
  <si>
    <t>I-Support Maintenance (1 Year)</t>
  </si>
  <si>
    <t>I-Premium Pack</t>
  </si>
  <si>
    <t xml:space="preserve"> - iAccounts </t>
  </si>
  <si>
    <t xml:space="preserve"> - Installation</t>
  </si>
  <si>
    <t>I-Gold Pack</t>
  </si>
  <si>
    <t>I-Basic Pack</t>
  </si>
  <si>
    <t>Training cost</t>
  </si>
  <si>
    <t>Cost Trainer</t>
  </si>
  <si>
    <t>Cost travelling</t>
  </si>
  <si>
    <t>other material</t>
  </si>
  <si>
    <t>estimade price</t>
  </si>
  <si>
    <t>I-Value Package for Single User</t>
  </si>
  <si>
    <t>I-Value Package for Multi User</t>
  </si>
  <si>
    <t>PRICING</t>
  </si>
  <si>
    <t>I-Started Pack</t>
  </si>
  <si>
    <t>Additional license</t>
  </si>
  <si>
    <t xml:space="preserve"> - iAccounts</t>
  </si>
  <si>
    <t>On-call Support (per ticket)</t>
  </si>
  <si>
    <t xml:space="preserve">  - Free on-site support (3 times)</t>
  </si>
  <si>
    <t xml:space="preserve">  - Free on-site support (2 times)</t>
  </si>
  <si>
    <t xml:space="preserve">  - Free on-call support ( 2 times)</t>
  </si>
  <si>
    <t xml:space="preserve">  - Free on-call support ( 3 times)</t>
  </si>
  <si>
    <t xml:space="preserve">  - Free update software</t>
  </si>
  <si>
    <t>Upgrade latest version</t>
  </si>
  <si>
    <t>Grand Total Price</t>
  </si>
  <si>
    <t xml:space="preserve"> - On-site Training ( 3 Persons)</t>
  </si>
  <si>
    <t xml:space="preserve"> - On-site Training ( 1 person)</t>
  </si>
  <si>
    <t>End User (RM)</t>
  </si>
  <si>
    <t>Reseller (RM)</t>
  </si>
  <si>
    <t>Regional (RM)</t>
  </si>
  <si>
    <t>Master Dist.(RM)</t>
  </si>
  <si>
    <t>Principal(RM)</t>
  </si>
  <si>
    <t>iAccounts</t>
  </si>
  <si>
    <t>Profit</t>
  </si>
  <si>
    <t>NIL</t>
  </si>
  <si>
    <t>Principal-Training ( full day per pax )</t>
  </si>
  <si>
    <t>Regional-Training ( 1/2 day per pax)</t>
  </si>
  <si>
    <t>Commission Scheme.</t>
  </si>
  <si>
    <t>Additional Services</t>
  </si>
  <si>
    <t>On-site Training ( 3 Person)</t>
  </si>
  <si>
    <t>Formula Multi user</t>
  </si>
  <si>
    <t>Training For Regional by Principal</t>
  </si>
  <si>
    <t>Training For Seller by Regional</t>
  </si>
  <si>
    <t>NL</t>
  </si>
  <si>
    <t>FOC</t>
  </si>
  <si>
    <t xml:space="preserve"> - I-Support Maintenance (1 year)</t>
  </si>
  <si>
    <t>On-site Training ( 1 person )</t>
  </si>
  <si>
    <t>Re-issue license</t>
  </si>
  <si>
    <t>I-Starter Pack</t>
  </si>
  <si>
    <t>Online Training</t>
  </si>
  <si>
    <t>MyCBP</t>
  </si>
  <si>
    <t>Salihin GST</t>
  </si>
  <si>
    <t>Mast.Dist-Training ( full day per pax )</t>
  </si>
  <si>
    <t>Mast.Dist.-Training ( full day per pax )</t>
  </si>
  <si>
    <t>NIl</t>
  </si>
  <si>
    <t xml:space="preserve">Box </t>
  </si>
  <si>
    <t>Sales(RM)</t>
  </si>
  <si>
    <t>Mast. Dist</t>
  </si>
  <si>
    <t>Principal</t>
  </si>
  <si>
    <t xml:space="preserve">User </t>
  </si>
  <si>
    <t>50% from user not take installation package</t>
  </si>
  <si>
    <t>20% from user not take i-Support package</t>
  </si>
  <si>
    <t>30% from user not take on-site training package</t>
  </si>
  <si>
    <t>Grand Total</t>
  </si>
  <si>
    <t>(exclude cost for</t>
  </si>
  <si>
    <t xml:space="preserve">additional </t>
  </si>
  <si>
    <t>service )</t>
  </si>
  <si>
    <t>User</t>
  </si>
  <si>
    <t>Reseller</t>
  </si>
  <si>
    <t>Reseller(RM)</t>
  </si>
  <si>
    <t>Box Only</t>
  </si>
  <si>
    <t>Single user</t>
  </si>
  <si>
    <t>Box</t>
  </si>
  <si>
    <t>Price</t>
  </si>
  <si>
    <t>less 15%</t>
  </si>
  <si>
    <t>Multi user</t>
  </si>
  <si>
    <t xml:space="preserve">Multi User </t>
  </si>
  <si>
    <t>Packages</t>
  </si>
  <si>
    <t>Add service</t>
  </si>
  <si>
    <t>Total</t>
  </si>
  <si>
    <t>Net total</t>
  </si>
  <si>
    <t>40% from 1000</t>
  </si>
  <si>
    <t>30% from 1000</t>
  </si>
  <si>
    <t>20% from 1000</t>
  </si>
  <si>
    <t>10% from 1000</t>
  </si>
  <si>
    <t>40% from 500</t>
  </si>
  <si>
    <t>30% from 500</t>
  </si>
  <si>
    <t>20% from 500</t>
  </si>
  <si>
    <t>10% from 500</t>
  </si>
  <si>
    <t>save 500</t>
  </si>
  <si>
    <t>save 450</t>
  </si>
  <si>
    <t>Valued at 4,050</t>
  </si>
  <si>
    <t xml:space="preserve"> - iACCOUNTS</t>
  </si>
  <si>
    <t>Regional</t>
  </si>
  <si>
    <t>Sale Comm</t>
  </si>
  <si>
    <t>40% from 1500</t>
  </si>
  <si>
    <t>30% from 1500</t>
  </si>
  <si>
    <t>20% from 1500</t>
  </si>
  <si>
    <t>10% from 1500</t>
  </si>
  <si>
    <t>40% from 700</t>
  </si>
  <si>
    <t>30% from 700</t>
  </si>
  <si>
    <t>20% from 700</t>
  </si>
  <si>
    <t>10% from 700</t>
  </si>
  <si>
    <t>ROI TARGET</t>
  </si>
  <si>
    <t>1,500 boxes for 3 years</t>
  </si>
  <si>
    <t>2,200 boxes for 2 years</t>
  </si>
  <si>
    <t>4,400 boxes for 1 year</t>
  </si>
  <si>
    <t>Planing</t>
  </si>
  <si>
    <t xml:space="preserve">Exhition </t>
  </si>
  <si>
    <t>Training/seminar</t>
  </si>
  <si>
    <t>30 boxes per seminar , 24 seminar, target sale 720 boxes a year</t>
  </si>
  <si>
    <t>7 boxes for 1 day, 3 places , target sales 2-3 boxes a day each place</t>
  </si>
  <si>
    <t>10 boxes for 1 day, 5 places , target sales 2 boxes a day each place</t>
  </si>
  <si>
    <t>20 boxes for 1 day, 5 places , target sales 4 boxes a day each place</t>
  </si>
  <si>
    <t>50 boxes per exhition , 12 exhibition,  target sale 600 boxes a year</t>
  </si>
  <si>
    <t>Sales Comm</t>
  </si>
  <si>
    <t>Sales</t>
  </si>
  <si>
    <t>Comm</t>
  </si>
  <si>
    <t>Sales/Profit Included AdHoc</t>
  </si>
  <si>
    <t>Sales/Profit software Only</t>
  </si>
  <si>
    <t>Sales/Profit AdHoc Only</t>
  </si>
  <si>
    <t>Dis.</t>
  </si>
  <si>
    <t xml:space="preserve">  - On-site support (3 times)</t>
  </si>
  <si>
    <t xml:space="preserve">  - On-call support ( 3 times)</t>
  </si>
  <si>
    <t>Free update software</t>
  </si>
  <si>
    <t xml:space="preserve">  - Free on-site support ( 3 times)</t>
  </si>
  <si>
    <t>%</t>
  </si>
  <si>
    <t>Master Distributor</t>
  </si>
  <si>
    <t>Target ROI RM 2,500,000</t>
  </si>
  <si>
    <t xml:space="preserve">Single User </t>
  </si>
  <si>
    <t>Multi User</t>
  </si>
  <si>
    <t>Assumption user buying</t>
  </si>
  <si>
    <t>Package 1</t>
  </si>
  <si>
    <t>Package 2</t>
  </si>
  <si>
    <t>Package 3</t>
  </si>
  <si>
    <t>Package 4</t>
  </si>
  <si>
    <t>Single User</t>
  </si>
  <si>
    <t>Price (RM)</t>
  </si>
  <si>
    <t>User Taken (%)</t>
  </si>
  <si>
    <t>Total Sales</t>
  </si>
  <si>
    <t>User buying</t>
  </si>
  <si>
    <t>Total Box</t>
  </si>
  <si>
    <t>2 Year</t>
  </si>
  <si>
    <t>3 Year</t>
  </si>
  <si>
    <t>Salihin GST SVC</t>
  </si>
  <si>
    <t>MYCBP SERVICES</t>
  </si>
  <si>
    <t>Salihin Business</t>
  </si>
  <si>
    <t>ABC Ent.</t>
  </si>
  <si>
    <t>Training For Reseller by Regional (CERT)</t>
  </si>
  <si>
    <t>10% from 7,000</t>
  </si>
  <si>
    <t>70% from 10,000</t>
  </si>
  <si>
    <t>30% from 10,000</t>
  </si>
  <si>
    <t>10% from 3,000</t>
  </si>
  <si>
    <t>Dealer (RM)</t>
  </si>
  <si>
    <t>Salihin Business (RM)</t>
  </si>
  <si>
    <t>Salihin GST SVC. (RM)</t>
  </si>
  <si>
    <t>Marketing Cost (RM)</t>
  </si>
  <si>
    <t xml:space="preserve"> - SPS</t>
  </si>
  <si>
    <t xml:space="preserve"> - SPS </t>
  </si>
  <si>
    <t>Additional User license</t>
  </si>
  <si>
    <t>Additional Company license</t>
  </si>
  <si>
    <t>Valued at 3,400</t>
  </si>
  <si>
    <t>Valued at 4,150</t>
  </si>
  <si>
    <t>`</t>
  </si>
  <si>
    <t>save 2,520</t>
  </si>
  <si>
    <t xml:space="preserve">Valued at 5,900 </t>
  </si>
  <si>
    <t>(3,400)+(200+550+750)-(1820)-200Discount=2880</t>
  </si>
  <si>
    <t>3400 - 1820 (DISCOUNT) = 1580</t>
  </si>
  <si>
    <t>Valued at 4,900</t>
  </si>
  <si>
    <t>(3400)+(200+550) -(1820)Discount = 2330</t>
  </si>
  <si>
    <t xml:space="preserve">save 1,820 </t>
  </si>
  <si>
    <t>(3400)+(2500)+(200+750+750)-(1820)-(500)-200=5080</t>
  </si>
  <si>
    <t>Valued at 7,600</t>
  </si>
  <si>
    <t>(3400)+(2500)+(200+750)-(1820)-500 = 4530</t>
  </si>
  <si>
    <t>Valued at 6,850</t>
  </si>
  <si>
    <t>save 2,320</t>
  </si>
  <si>
    <t>(3400)+(2500)-(1820) = 4080</t>
  </si>
  <si>
    <t>Discount 1,820</t>
  </si>
  <si>
    <t>Additional license/companies</t>
  </si>
  <si>
    <t>On-site Training ( 6 Person)</t>
  </si>
  <si>
    <t>On-site Training ( 3 person )</t>
  </si>
  <si>
    <t xml:space="preserve"> - On-site Training ( 6 Persons)</t>
  </si>
  <si>
    <t>50% from 500</t>
  </si>
  <si>
    <t>50% from 3780</t>
  </si>
  <si>
    <t>30% from 3780</t>
  </si>
  <si>
    <t>20% from 3780</t>
  </si>
  <si>
    <t>10% from 16200</t>
  </si>
  <si>
    <t>20% from 16200</t>
  </si>
  <si>
    <t>50% from 1000</t>
  </si>
  <si>
    <r>
      <t xml:space="preserve"> - I-Suppo</t>
    </r>
    <r>
      <rPr>
        <sz val="11"/>
        <rFont val="Calibri"/>
        <family val="2"/>
        <scheme val="minor"/>
      </rPr>
      <t>rt Maintenanc</t>
    </r>
    <r>
      <rPr>
        <sz val="11"/>
        <color theme="1"/>
        <rFont val="Calibri"/>
        <family val="2"/>
        <scheme val="minor"/>
      </rPr>
      <t>e ( 1 year)</t>
    </r>
  </si>
  <si>
    <t>- Installation</t>
  </si>
  <si>
    <t>S-Premium Pack</t>
  </si>
  <si>
    <t>S-Basic Pack</t>
  </si>
  <si>
    <t>S-Starter Pack</t>
  </si>
  <si>
    <t>S-Started Pack</t>
  </si>
  <si>
    <t>S-Value Package for Multi User</t>
  </si>
  <si>
    <t xml:space="preserve"> - On-site Training ( 3 person)</t>
  </si>
  <si>
    <t>SPS</t>
  </si>
  <si>
    <t>On-site Training (max 3 persons)</t>
  </si>
  <si>
    <t>On-site Training (max 6 persons)</t>
  </si>
  <si>
    <t>2330+200+550+1440-1440-200</t>
  </si>
  <si>
    <t xml:space="preserve">save 1640 </t>
  </si>
  <si>
    <t>2330+200+550+1440</t>
  </si>
  <si>
    <t>3 Users, 1 Company/ 1 User, 3 Companies</t>
  </si>
  <si>
    <t>SPS I-Pack</t>
  </si>
  <si>
    <t xml:space="preserve">SPS S-Pack for </t>
  </si>
  <si>
    <t xml:space="preserve">6 Users, 3 Companies,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</si>
</sst>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_);_(* \(#,##0.0\);_(* &quot;-&quot;_);_(@_)"/>
    <numFmt numFmtId="166" formatCode="_(* #,##0_);_(* \(#,##0\);_(* &quot;-&quot;??_);_(@_)"/>
    <numFmt numFmtId="167" formatCode="0.0"/>
  </numFmts>
  <fonts count="25" x14ac:knownFonts="1"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MS Sans Serif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8">
    <xf numFmtId="0" fontId="0" fillId="0" borderId="0" xfId="0"/>
    <xf numFmtId="0" fontId="9" fillId="0" borderId="0" xfId="0" applyFont="1"/>
    <xf numFmtId="164" fontId="9" fillId="0" borderId="0" xfId="1" applyNumberFormat="1" applyFont="1"/>
    <xf numFmtId="0" fontId="10" fillId="0" borderId="0" xfId="0" applyFont="1"/>
    <xf numFmtId="0" fontId="9" fillId="0" borderId="1" xfId="0" applyFont="1" applyBorder="1"/>
    <xf numFmtId="0" fontId="10" fillId="0" borderId="1" xfId="0" applyFont="1" applyBorder="1"/>
    <xf numFmtId="0" fontId="9" fillId="0" borderId="2" xfId="0" applyFont="1" applyBorder="1"/>
    <xf numFmtId="0" fontId="10" fillId="0" borderId="2" xfId="0" applyFont="1" applyBorder="1"/>
    <xf numFmtId="164" fontId="10" fillId="0" borderId="2" xfId="1" applyNumberFormat="1" applyFont="1" applyBorder="1"/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/>
    <xf numFmtId="164" fontId="9" fillId="0" borderId="0" xfId="1" applyNumberFormat="1" applyFont="1" applyBorder="1"/>
    <xf numFmtId="0" fontId="9" fillId="0" borderId="3" xfId="0" applyFont="1" applyBorder="1"/>
    <xf numFmtId="0" fontId="10" fillId="0" borderId="3" xfId="0" applyFont="1" applyBorder="1"/>
    <xf numFmtId="164" fontId="10" fillId="0" borderId="3" xfId="1" applyNumberFormat="1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4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0" fillId="0" borderId="8" xfId="1" applyNumberFormat="1" applyFont="1" applyBorder="1"/>
    <xf numFmtId="0" fontId="9" fillId="0" borderId="3" xfId="0" applyFont="1" applyBorder="1" applyAlignment="1">
      <alignment horizontal="left"/>
    </xf>
    <xf numFmtId="164" fontId="10" fillId="0" borderId="3" xfId="1" applyNumberFormat="1" applyFont="1" applyBorder="1" applyAlignment="1">
      <alignment horizontal="left"/>
    </xf>
    <xf numFmtId="0" fontId="10" fillId="0" borderId="5" xfId="0" applyFont="1" applyBorder="1"/>
    <xf numFmtId="0" fontId="10" fillId="0" borderId="5" xfId="0" applyFont="1" applyBorder="1" applyAlignment="1">
      <alignment horizontal="left"/>
    </xf>
    <xf numFmtId="3" fontId="0" fillId="0" borderId="0" xfId="0" applyNumberFormat="1"/>
    <xf numFmtId="0" fontId="0" fillId="0" borderId="0" xfId="0" applyBorder="1"/>
    <xf numFmtId="0" fontId="0" fillId="0" borderId="7" xfId="0" applyBorder="1"/>
    <xf numFmtId="43" fontId="9" fillId="0" borderId="3" xfId="0" applyNumberFormat="1" applyFont="1" applyBorder="1" applyAlignment="1">
      <alignment horizontal="left"/>
    </xf>
    <xf numFmtId="164" fontId="13" fillId="0" borderId="8" xfId="1" applyNumberFormat="1" applyFont="1" applyBorder="1" applyAlignment="1">
      <alignment horizontal="right"/>
    </xf>
    <xf numFmtId="0" fontId="14" fillId="0" borderId="0" xfId="0" applyFont="1" applyBorder="1"/>
    <xf numFmtId="0" fontId="11" fillId="0" borderId="0" xfId="0" applyFont="1"/>
    <xf numFmtId="0" fontId="14" fillId="0" borderId="0" xfId="0" applyFont="1"/>
    <xf numFmtId="164" fontId="13" fillId="0" borderId="2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9" fontId="10" fillId="0" borderId="0" xfId="0" applyNumberFormat="1" applyFont="1"/>
    <xf numFmtId="0" fontId="12" fillId="0" borderId="4" xfId="0" applyFont="1" applyBorder="1" applyAlignment="1">
      <alignment horizontal="center"/>
    </xf>
    <xf numFmtId="164" fontId="10" fillId="0" borderId="9" xfId="1" applyNumberFormat="1" applyFont="1" applyBorder="1" applyAlignment="1">
      <alignment horizontal="center"/>
    </xf>
    <xf numFmtId="164" fontId="10" fillId="0" borderId="6" xfId="1" applyNumberFormat="1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43" fontId="10" fillId="0" borderId="13" xfId="0" applyNumberFormat="1" applyFont="1" applyBorder="1" applyAlignment="1">
      <alignment horizontal="center"/>
    </xf>
    <xf numFmtId="43" fontId="10" fillId="0" borderId="14" xfId="0" applyNumberFormat="1" applyFont="1" applyBorder="1" applyAlignment="1">
      <alignment horizontal="center"/>
    </xf>
    <xf numFmtId="164" fontId="10" fillId="0" borderId="15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14" xfId="1" applyNumberFormat="1" applyFont="1" applyBorder="1" applyAlignment="1">
      <alignment horizontal="center"/>
    </xf>
    <xf numFmtId="164" fontId="10" fillId="0" borderId="17" xfId="1" applyNumberFormat="1" applyFont="1" applyBorder="1"/>
    <xf numFmtId="164" fontId="10" fillId="0" borderId="18" xfId="1" applyNumberFormat="1" applyFont="1" applyBorder="1"/>
    <xf numFmtId="164" fontId="10" fillId="0" borderId="15" xfId="1" applyNumberFormat="1" applyFont="1" applyBorder="1"/>
    <xf numFmtId="164" fontId="10" fillId="0" borderId="4" xfId="1" applyNumberFormat="1" applyFont="1" applyBorder="1"/>
    <xf numFmtId="164" fontId="10" fillId="0" borderId="9" xfId="1" applyNumberFormat="1" applyFont="1" applyBorder="1" applyAlignment="1">
      <alignment horizontal="left"/>
    </xf>
    <xf numFmtId="164" fontId="10" fillId="0" borderId="9" xfId="1" applyNumberFormat="1" applyFont="1" applyBorder="1"/>
    <xf numFmtId="164" fontId="10" fillId="0" borderId="9" xfId="1" applyNumberFormat="1" applyFont="1" applyBorder="1" applyAlignment="1">
      <alignment horizontal="right"/>
    </xf>
    <xf numFmtId="164" fontId="10" fillId="0" borderId="13" xfId="1" applyNumberFormat="1" applyFont="1" applyBorder="1"/>
    <xf numFmtId="164" fontId="10" fillId="0" borderId="15" xfId="1" applyNumberFormat="1" applyFont="1" applyBorder="1" applyAlignment="1">
      <alignment horizontal="left"/>
    </xf>
    <xf numFmtId="164" fontId="10" fillId="0" borderId="14" xfId="1" applyNumberFormat="1" applyFont="1" applyBorder="1"/>
    <xf numFmtId="0" fontId="9" fillId="0" borderId="10" xfId="0" applyFont="1" applyBorder="1"/>
    <xf numFmtId="164" fontId="10" fillId="0" borderId="4" xfId="1" applyNumberFormat="1" applyFont="1" applyBorder="1" applyAlignment="1">
      <alignment horizontal="left"/>
    </xf>
    <xf numFmtId="164" fontId="13" fillId="0" borderId="6" xfId="1" applyNumberFormat="1" applyFont="1" applyBorder="1" applyAlignment="1">
      <alignment horizontal="right"/>
    </xf>
    <xf numFmtId="164" fontId="10" fillId="0" borderId="21" xfId="1" applyNumberFormat="1" applyFont="1" applyBorder="1"/>
    <xf numFmtId="0" fontId="12" fillId="0" borderId="22" xfId="0" applyFont="1" applyBorder="1" applyAlignment="1">
      <alignment horizontal="center"/>
    </xf>
    <xf numFmtId="164" fontId="10" fillId="0" borderId="13" xfId="1" applyNumberFormat="1" applyFont="1" applyBorder="1" applyAlignment="1">
      <alignment horizontal="left"/>
    </xf>
    <xf numFmtId="164" fontId="10" fillId="0" borderId="25" xfId="1" applyNumberFormat="1" applyFont="1" applyBorder="1"/>
    <xf numFmtId="164" fontId="10" fillId="0" borderId="0" xfId="1" applyNumberFormat="1" applyFont="1"/>
    <xf numFmtId="9" fontId="10" fillId="0" borderId="0" xfId="2" applyFont="1"/>
    <xf numFmtId="0" fontId="10" fillId="0" borderId="3" xfId="0" applyFont="1" applyBorder="1" applyAlignment="1">
      <alignment horizontal="left"/>
    </xf>
    <xf numFmtId="164" fontId="10" fillId="0" borderId="14" xfId="1" applyNumberFormat="1" applyFont="1" applyBorder="1" applyAlignment="1">
      <alignment horizontal="left"/>
    </xf>
    <xf numFmtId="164" fontId="10" fillId="0" borderId="17" xfId="1" applyNumberFormat="1" applyFont="1" applyBorder="1" applyAlignment="1">
      <alignment horizontal="right"/>
    </xf>
    <xf numFmtId="164" fontId="10" fillId="0" borderId="26" xfId="1" applyNumberFormat="1" applyFont="1" applyBorder="1"/>
    <xf numFmtId="164" fontId="10" fillId="0" borderId="21" xfId="1" applyNumberFormat="1" applyFont="1" applyBorder="1" applyAlignment="1">
      <alignment horizontal="right"/>
    </xf>
    <xf numFmtId="164" fontId="10" fillId="0" borderId="27" xfId="1" applyNumberFormat="1" applyFont="1" applyBorder="1" applyAlignment="1">
      <alignment horizontal="right"/>
    </xf>
    <xf numFmtId="164" fontId="10" fillId="0" borderId="28" xfId="1" applyNumberFormat="1" applyFont="1" applyBorder="1"/>
    <xf numFmtId="164" fontId="10" fillId="0" borderId="27" xfId="1" applyNumberFormat="1" applyFont="1" applyBorder="1"/>
    <xf numFmtId="43" fontId="10" fillId="0" borderId="23" xfId="0" applyNumberFormat="1" applyFont="1" applyBorder="1" applyAlignment="1">
      <alignment horizontal="center"/>
    </xf>
    <xf numFmtId="164" fontId="10" fillId="0" borderId="29" xfId="1" applyNumberFormat="1" applyFont="1" applyBorder="1" applyAlignment="1">
      <alignment horizontal="center"/>
    </xf>
    <xf numFmtId="164" fontId="10" fillId="0" borderId="23" xfId="1" applyNumberFormat="1" applyFont="1" applyBorder="1" applyAlignment="1">
      <alignment horizontal="center"/>
    </xf>
    <xf numFmtId="164" fontId="10" fillId="0" borderId="24" xfId="1" applyNumberFormat="1" applyFont="1" applyBorder="1"/>
    <xf numFmtId="164" fontId="10" fillId="0" borderId="29" xfId="1" applyNumberFormat="1" applyFont="1" applyBorder="1"/>
    <xf numFmtId="43" fontId="10" fillId="0" borderId="16" xfId="0" applyNumberFormat="1" applyFont="1" applyBorder="1" applyAlignment="1">
      <alignment horizontal="center"/>
    </xf>
    <xf numFmtId="0" fontId="13" fillId="0" borderId="6" xfId="1" applyNumberFormat="1" applyFont="1" applyBorder="1" applyAlignment="1">
      <alignment horizontal="right"/>
    </xf>
    <xf numFmtId="0" fontId="12" fillId="0" borderId="31" xfId="0" applyFont="1" applyBorder="1" applyAlignment="1">
      <alignment horizontal="center"/>
    </xf>
    <xf numFmtId="43" fontId="10" fillId="0" borderId="4" xfId="0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43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  <xf numFmtId="164" fontId="7" fillId="0" borderId="16" xfId="1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9" fontId="7" fillId="0" borderId="0" xfId="2" applyFont="1" applyAlignment="1">
      <alignment horizontal="center"/>
    </xf>
    <xf numFmtId="0" fontId="7" fillId="0" borderId="3" xfId="0" applyFont="1" applyBorder="1"/>
    <xf numFmtId="164" fontId="10" fillId="0" borderId="19" xfId="1" applyNumberFormat="1" applyFont="1" applyBorder="1" applyAlignment="1">
      <alignment horizontal="center"/>
    </xf>
    <xf numFmtId="43" fontId="10" fillId="0" borderId="20" xfId="0" applyNumberFormat="1" applyFont="1" applyBorder="1" applyAlignment="1">
      <alignment horizontal="center"/>
    </xf>
    <xf numFmtId="164" fontId="10" fillId="0" borderId="19" xfId="1" applyNumberFormat="1" applyFont="1" applyBorder="1"/>
    <xf numFmtId="164" fontId="7" fillId="0" borderId="29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164" fontId="10" fillId="0" borderId="30" xfId="1" applyNumberFormat="1" applyFont="1" applyBorder="1"/>
    <xf numFmtId="43" fontId="9" fillId="0" borderId="34" xfId="0" applyNumberFormat="1" applyFont="1" applyBorder="1" applyAlignment="1">
      <alignment horizontal="left"/>
    </xf>
    <xf numFmtId="41" fontId="9" fillId="0" borderId="33" xfId="1" applyFont="1" applyBorder="1"/>
    <xf numFmtId="0" fontId="9" fillId="0" borderId="34" xfId="0" applyFont="1" applyBorder="1"/>
    <xf numFmtId="0" fontId="9" fillId="0" borderId="37" xfId="0" applyFont="1" applyBorder="1"/>
    <xf numFmtId="43" fontId="9" fillId="0" borderId="38" xfId="0" applyNumberFormat="1" applyFont="1" applyBorder="1" applyAlignment="1">
      <alignment horizontal="left"/>
    </xf>
    <xf numFmtId="0" fontId="9" fillId="0" borderId="39" xfId="0" applyFont="1" applyBorder="1"/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41" fontId="9" fillId="0" borderId="13" xfId="1" applyFont="1" applyBorder="1" applyAlignment="1">
      <alignment horizontal="left"/>
    </xf>
    <xf numFmtId="41" fontId="9" fillId="0" borderId="17" xfId="1" applyFont="1" applyBorder="1"/>
    <xf numFmtId="41" fontId="9" fillId="0" borderId="25" xfId="1" applyFont="1" applyBorder="1"/>
    <xf numFmtId="41" fontId="9" fillId="0" borderId="13" xfId="1" applyFont="1" applyBorder="1"/>
    <xf numFmtId="41" fontId="9" fillId="0" borderId="27" xfId="1" applyFont="1" applyBorder="1"/>
    <xf numFmtId="0" fontId="9" fillId="0" borderId="27" xfId="0" applyFont="1" applyBorder="1"/>
    <xf numFmtId="43" fontId="9" fillId="0" borderId="0" xfId="0" applyNumberFormat="1" applyFont="1"/>
    <xf numFmtId="164" fontId="9" fillId="0" borderId="3" xfId="1" applyNumberFormat="1" applyFont="1" applyBorder="1" applyAlignment="1">
      <alignment horizontal="left"/>
    </xf>
    <xf numFmtId="164" fontId="9" fillId="0" borderId="8" xfId="1" applyNumberFormat="1" applyFont="1" applyBorder="1"/>
    <xf numFmtId="164" fontId="9" fillId="0" borderId="2" xfId="1" applyNumberFormat="1" applyFont="1" applyBorder="1"/>
    <xf numFmtId="41" fontId="9" fillId="0" borderId="13" xfId="1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left"/>
    </xf>
    <xf numFmtId="164" fontId="9" fillId="0" borderId="3" xfId="1" applyNumberFormat="1" applyFont="1" applyBorder="1"/>
    <xf numFmtId="164" fontId="9" fillId="0" borderId="0" xfId="1" applyNumberFormat="1" applyFont="1" applyBorder="1" applyAlignment="1">
      <alignment horizontal="left"/>
    </xf>
    <xf numFmtId="164" fontId="9" fillId="0" borderId="5" xfId="1" applyNumberFormat="1" applyFont="1" applyBorder="1"/>
    <xf numFmtId="164" fontId="9" fillId="0" borderId="7" xfId="1" applyNumberFormat="1" applyFont="1" applyBorder="1"/>
    <xf numFmtId="0" fontId="12" fillId="0" borderId="42" xfId="0" applyFont="1" applyBorder="1" applyAlignment="1">
      <alignment horizontal="center"/>
    </xf>
    <xf numFmtId="164" fontId="9" fillId="0" borderId="43" xfId="1" applyNumberFormat="1" applyFont="1" applyBorder="1"/>
    <xf numFmtId="41" fontId="9" fillId="0" borderId="15" xfId="1" applyFont="1" applyBorder="1"/>
    <xf numFmtId="0" fontId="9" fillId="0" borderId="16" xfId="0" applyFont="1" applyBorder="1"/>
    <xf numFmtId="43" fontId="9" fillId="0" borderId="16" xfId="0" applyNumberFormat="1" applyFont="1" applyBorder="1" applyAlignment="1">
      <alignment horizontal="left"/>
    </xf>
    <xf numFmtId="41" fontId="9" fillId="0" borderId="44" xfId="1" applyFont="1" applyBorder="1"/>
    <xf numFmtId="0" fontId="9" fillId="0" borderId="38" xfId="0" applyFont="1" applyBorder="1"/>
    <xf numFmtId="41" fontId="9" fillId="0" borderId="45" xfId="1" applyFont="1" applyBorder="1"/>
    <xf numFmtId="41" fontId="9" fillId="0" borderId="19" xfId="1" applyFont="1" applyBorder="1"/>
    <xf numFmtId="164" fontId="9" fillId="0" borderId="46" xfId="1" applyNumberFormat="1" applyFont="1" applyBorder="1"/>
    <xf numFmtId="0" fontId="9" fillId="0" borderId="20" xfId="0" applyFont="1" applyBorder="1"/>
    <xf numFmtId="0" fontId="9" fillId="0" borderId="19" xfId="0" applyFont="1" applyBorder="1"/>
    <xf numFmtId="0" fontId="7" fillId="0" borderId="0" xfId="0" applyFont="1"/>
    <xf numFmtId="164" fontId="9" fillId="0" borderId="16" xfId="1" applyNumberFormat="1" applyFont="1" applyBorder="1"/>
    <xf numFmtId="164" fontId="9" fillId="0" borderId="38" xfId="1" applyNumberFormat="1" applyFont="1" applyBorder="1"/>
    <xf numFmtId="164" fontId="9" fillId="0" borderId="34" xfId="1" applyNumberFormat="1" applyFont="1" applyBorder="1"/>
    <xf numFmtId="164" fontId="9" fillId="0" borderId="34" xfId="1" applyNumberFormat="1" applyFont="1" applyBorder="1" applyAlignment="1">
      <alignment horizontal="left"/>
    </xf>
    <xf numFmtId="164" fontId="9" fillId="0" borderId="39" xfId="1" applyNumberFormat="1" applyFont="1" applyBorder="1"/>
    <xf numFmtId="164" fontId="9" fillId="0" borderId="16" xfId="1" applyNumberFormat="1" applyFont="1" applyBorder="1" applyAlignment="1">
      <alignment horizontal="left"/>
    </xf>
    <xf numFmtId="164" fontId="9" fillId="0" borderId="20" xfId="1" applyNumberFormat="1" applyFont="1" applyBorder="1"/>
    <xf numFmtId="164" fontId="9" fillId="0" borderId="14" xfId="1" applyNumberFormat="1" applyFont="1" applyBorder="1"/>
    <xf numFmtId="9" fontId="9" fillId="0" borderId="17" xfId="1" applyNumberFormat="1" applyFont="1" applyBorder="1"/>
    <xf numFmtId="9" fontId="9" fillId="0" borderId="0" xfId="2" applyFont="1"/>
    <xf numFmtId="164" fontId="7" fillId="0" borderId="0" xfId="1" applyNumberFormat="1" applyFont="1"/>
    <xf numFmtId="164" fontId="7" fillId="0" borderId="15" xfId="1" applyNumberFormat="1" applyFont="1" applyBorder="1" applyAlignment="1">
      <alignment horizontal="left"/>
    </xf>
    <xf numFmtId="164" fontId="7" fillId="0" borderId="13" xfId="1" applyNumberFormat="1" applyFont="1" applyBorder="1"/>
    <xf numFmtId="43" fontId="7" fillId="0" borderId="14" xfId="0" applyNumberFormat="1" applyFont="1" applyBorder="1" applyAlignment="1">
      <alignment horizontal="center"/>
    </xf>
    <xf numFmtId="164" fontId="7" fillId="0" borderId="15" xfId="1" applyNumberFormat="1" applyFont="1" applyBorder="1"/>
    <xf numFmtId="164" fontId="7" fillId="0" borderId="14" xfId="1" applyNumberFormat="1" applyFont="1" applyBorder="1" applyAlignment="1">
      <alignment horizontal="center"/>
    </xf>
    <xf numFmtId="164" fontId="7" fillId="0" borderId="19" xfId="1" applyNumberFormat="1" applyFont="1" applyBorder="1"/>
    <xf numFmtId="43" fontId="7" fillId="0" borderId="20" xfId="0" applyNumberFormat="1" applyFont="1" applyBorder="1" applyAlignment="1">
      <alignment horizontal="center"/>
    </xf>
    <xf numFmtId="41" fontId="0" fillId="0" borderId="0" xfId="1" applyFont="1"/>
    <xf numFmtId="165" fontId="0" fillId="0" borderId="0" xfId="1" applyNumberFormat="1" applyFont="1"/>
    <xf numFmtId="164" fontId="0" fillId="0" borderId="0" xfId="1" applyNumberFormat="1" applyFont="1"/>
    <xf numFmtId="43" fontId="0" fillId="0" borderId="0" xfId="0" applyNumberFormat="1"/>
    <xf numFmtId="164" fontId="0" fillId="0" borderId="7" xfId="1" applyNumberFormat="1" applyFont="1" applyBorder="1"/>
    <xf numFmtId="43" fontId="0" fillId="0" borderId="7" xfId="0" applyNumberFormat="1" applyBorder="1"/>
    <xf numFmtId="164" fontId="9" fillId="0" borderId="47" xfId="1" applyNumberFormat="1" applyFont="1" applyBorder="1"/>
    <xf numFmtId="41" fontId="9" fillId="0" borderId="48" xfId="1" applyFont="1" applyBorder="1"/>
    <xf numFmtId="164" fontId="9" fillId="0" borderId="8" xfId="1" applyNumberFormat="1" applyFont="1" applyBorder="1" applyAlignment="1">
      <alignment horizontal="left"/>
    </xf>
    <xf numFmtId="164" fontId="0" fillId="0" borderId="0" xfId="0" applyNumberFormat="1"/>
    <xf numFmtId="9" fontId="0" fillId="0" borderId="0" xfId="2" applyNumberFormat="1" applyFont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33" xfId="0" applyBorder="1"/>
    <xf numFmtId="164" fontId="0" fillId="0" borderId="0" xfId="1" applyNumberFormat="1" applyFont="1" applyBorder="1"/>
    <xf numFmtId="164" fontId="0" fillId="0" borderId="34" xfId="1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5" xfId="1" applyNumberFormat="1" applyFont="1" applyBorder="1"/>
    <xf numFmtId="0" fontId="10" fillId="0" borderId="3" xfId="0" applyFont="1" applyFill="1" applyBorder="1"/>
    <xf numFmtId="0" fontId="10" fillId="0" borderId="5" xfId="0" applyFont="1" applyFill="1" applyBorder="1"/>
    <xf numFmtId="164" fontId="10" fillId="0" borderId="4" xfId="1" applyNumberFormat="1" applyFont="1" applyFill="1" applyBorder="1"/>
    <xf numFmtId="164" fontId="10" fillId="0" borderId="13" xfId="1" applyNumberFormat="1" applyFont="1" applyFill="1" applyBorder="1"/>
    <xf numFmtId="43" fontId="10" fillId="0" borderId="14" xfId="0" applyNumberFormat="1" applyFont="1" applyFill="1" applyBorder="1" applyAlignment="1">
      <alignment horizontal="center"/>
    </xf>
    <xf numFmtId="43" fontId="10" fillId="0" borderId="13" xfId="0" applyNumberFormat="1" applyFont="1" applyFill="1" applyBorder="1" applyAlignment="1">
      <alignment horizontal="center"/>
    </xf>
    <xf numFmtId="0" fontId="9" fillId="0" borderId="0" xfId="0" applyFont="1" applyFill="1"/>
    <xf numFmtId="41" fontId="9" fillId="0" borderId="13" xfId="1" applyFont="1" applyFill="1" applyBorder="1"/>
    <xf numFmtId="164" fontId="9" fillId="0" borderId="3" xfId="1" applyNumberFormat="1" applyFont="1" applyFill="1" applyBorder="1" applyAlignment="1">
      <alignment horizontal="left"/>
    </xf>
    <xf numFmtId="43" fontId="9" fillId="0" borderId="38" xfId="0" applyNumberFormat="1" applyFont="1" applyFill="1" applyBorder="1" applyAlignment="1">
      <alignment horizontal="left"/>
    </xf>
    <xf numFmtId="0" fontId="7" fillId="0" borderId="0" xfId="0" applyFont="1" applyFill="1"/>
    <xf numFmtId="0" fontId="10" fillId="0" borderId="2" xfId="0" applyFont="1" applyFill="1" applyBorder="1"/>
    <xf numFmtId="0" fontId="10" fillId="0" borderId="7" xfId="0" applyFont="1" applyFill="1" applyBorder="1"/>
    <xf numFmtId="164" fontId="10" fillId="0" borderId="21" xfId="1" applyNumberFormat="1" applyFont="1" applyFill="1" applyBorder="1" applyAlignment="1">
      <alignment horizontal="right"/>
    </xf>
    <xf numFmtId="164" fontId="10" fillId="0" borderId="27" xfId="1" applyNumberFormat="1" applyFont="1" applyFill="1" applyBorder="1" applyAlignment="1">
      <alignment horizontal="right"/>
    </xf>
    <xf numFmtId="164" fontId="10" fillId="0" borderId="28" xfId="1" applyNumberFormat="1" applyFont="1" applyFill="1" applyBorder="1"/>
    <xf numFmtId="164" fontId="10" fillId="0" borderId="27" xfId="1" applyNumberFormat="1" applyFont="1" applyFill="1" applyBorder="1"/>
    <xf numFmtId="41" fontId="9" fillId="0" borderId="27" xfId="1" applyFont="1" applyFill="1" applyBorder="1"/>
    <xf numFmtId="164" fontId="9" fillId="0" borderId="43" xfId="1" applyNumberFormat="1" applyFont="1" applyFill="1" applyBorder="1"/>
    <xf numFmtId="0" fontId="9" fillId="0" borderId="37" xfId="0" applyFont="1" applyFill="1" applyBorder="1"/>
    <xf numFmtId="0" fontId="9" fillId="0" borderId="27" xfId="0" applyFont="1" applyFill="1" applyBorder="1"/>
    <xf numFmtId="0" fontId="7" fillId="0" borderId="0" xfId="0" applyFont="1" applyBorder="1"/>
    <xf numFmtId="43" fontId="9" fillId="0" borderId="8" xfId="0" applyNumberFormat="1" applyFont="1" applyBorder="1" applyAlignment="1">
      <alignment horizontal="left"/>
    </xf>
    <xf numFmtId="43" fontId="10" fillId="0" borderId="18" xfId="0" applyNumberFormat="1" applyFont="1" applyBorder="1" applyAlignment="1">
      <alignment horizontal="center"/>
    </xf>
    <xf numFmtId="43" fontId="10" fillId="0" borderId="17" xfId="0" applyNumberFormat="1" applyFont="1" applyBorder="1" applyAlignment="1">
      <alignment horizontal="center"/>
    </xf>
    <xf numFmtId="41" fontId="9" fillId="0" borderId="17" xfId="1" applyFont="1" applyFill="1" applyBorder="1"/>
    <xf numFmtId="164" fontId="9" fillId="0" borderId="8" xfId="1" applyNumberFormat="1" applyFont="1" applyFill="1" applyBorder="1" applyAlignment="1">
      <alignment horizontal="left"/>
    </xf>
    <xf numFmtId="43" fontId="9" fillId="0" borderId="34" xfId="0" applyNumberFormat="1" applyFont="1" applyFill="1" applyBorder="1" applyAlignment="1">
      <alignment horizontal="left"/>
    </xf>
    <xf numFmtId="164" fontId="7" fillId="0" borderId="29" xfId="1" applyNumberFormat="1" applyFont="1" applyBorder="1"/>
    <xf numFmtId="43" fontId="7" fillId="0" borderId="16" xfId="0" applyNumberFormat="1" applyFont="1" applyBorder="1" applyAlignment="1">
      <alignment horizontal="center"/>
    </xf>
    <xf numFmtId="164" fontId="10" fillId="0" borderId="0" xfId="1" applyNumberFormat="1" applyFont="1" applyBorder="1"/>
    <xf numFmtId="164" fontId="10" fillId="0" borderId="52" xfId="1" applyNumberFormat="1" applyFont="1" applyBorder="1" applyAlignment="1">
      <alignment horizontal="center"/>
    </xf>
    <xf numFmtId="164" fontId="7" fillId="0" borderId="52" xfId="1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164" fontId="10" fillId="0" borderId="23" xfId="1" applyNumberFormat="1" applyFont="1" applyBorder="1"/>
    <xf numFmtId="164" fontId="7" fillId="0" borderId="23" xfId="1" applyNumberFormat="1" applyFont="1" applyBorder="1"/>
    <xf numFmtId="164" fontId="10" fillId="0" borderId="52" xfId="1" applyNumberFormat="1" applyFont="1" applyBorder="1"/>
    <xf numFmtId="164" fontId="9" fillId="0" borderId="9" xfId="1" applyNumberFormat="1" applyFont="1" applyBorder="1"/>
    <xf numFmtId="164" fontId="9" fillId="0" borderId="9" xfId="1" applyNumberFormat="1" applyFont="1" applyBorder="1" applyAlignment="1">
      <alignment horizontal="left"/>
    </xf>
    <xf numFmtId="164" fontId="9" fillId="0" borderId="4" xfId="1" applyNumberFormat="1" applyFont="1" applyBorder="1"/>
    <xf numFmtId="164" fontId="9" fillId="0" borderId="32" xfId="1" applyNumberFormat="1" applyFont="1" applyBorder="1"/>
    <xf numFmtId="0" fontId="12" fillId="0" borderId="59" xfId="0" applyFont="1" applyBorder="1" applyAlignment="1">
      <alignment horizontal="center"/>
    </xf>
    <xf numFmtId="164" fontId="9" fillId="0" borderId="4" xfId="1" applyNumberFormat="1" applyFont="1" applyBorder="1" applyAlignment="1">
      <alignment horizontal="left"/>
    </xf>
    <xf numFmtId="164" fontId="9" fillId="0" borderId="6" xfId="1" applyNumberFormat="1" applyFont="1" applyBorder="1"/>
    <xf numFmtId="164" fontId="9" fillId="0" borderId="21" xfId="1" applyNumberFormat="1" applyFont="1" applyBorder="1"/>
    <xf numFmtId="164" fontId="9" fillId="0" borderId="4" xfId="1" applyNumberFormat="1" applyFont="1" applyFill="1" applyBorder="1" applyAlignment="1">
      <alignment horizontal="left"/>
    </xf>
    <xf numFmtId="164" fontId="9" fillId="0" borderId="6" xfId="1" applyNumberFormat="1" applyFont="1" applyFill="1" applyBorder="1" applyAlignment="1">
      <alignment horizontal="left"/>
    </xf>
    <xf numFmtId="164" fontId="9" fillId="0" borderId="60" xfId="1" applyNumberFormat="1" applyFont="1" applyFill="1" applyBorder="1"/>
    <xf numFmtId="164" fontId="9" fillId="0" borderId="55" xfId="1" applyNumberFormat="1" applyFont="1" applyBorder="1" applyAlignment="1">
      <alignment horizontal="left"/>
    </xf>
    <xf numFmtId="164" fontId="9" fillId="0" borderId="57" xfId="1" applyNumberFormat="1" applyFont="1" applyBorder="1"/>
    <xf numFmtId="164" fontId="9" fillId="0" borderId="61" xfId="1" applyNumberFormat="1" applyFont="1" applyBorder="1"/>
    <xf numFmtId="164" fontId="9" fillId="0" borderId="57" xfId="1" applyNumberFormat="1" applyFont="1" applyFill="1" applyBorder="1" applyAlignment="1">
      <alignment horizontal="left"/>
    </xf>
    <xf numFmtId="164" fontId="9" fillId="0" borderId="62" xfId="1" applyNumberFormat="1" applyFont="1" applyFill="1" applyBorder="1"/>
    <xf numFmtId="0" fontId="7" fillId="0" borderId="53" xfId="0" applyFont="1" applyBorder="1" applyAlignment="1">
      <alignment horizontal="center"/>
    </xf>
    <xf numFmtId="164" fontId="7" fillId="0" borderId="52" xfId="1" applyNumberFormat="1" applyFont="1" applyBorder="1"/>
    <xf numFmtId="164" fontId="7" fillId="0" borderId="5" xfId="1" applyNumberFormat="1" applyFont="1" applyBorder="1" applyAlignment="1">
      <alignment horizontal="center"/>
    </xf>
    <xf numFmtId="164" fontId="7" fillId="0" borderId="5" xfId="1" applyNumberFormat="1" applyFont="1" applyBorder="1"/>
    <xf numFmtId="164" fontId="9" fillId="0" borderId="29" xfId="1" applyNumberFormat="1" applyFont="1" applyBorder="1"/>
    <xf numFmtId="164" fontId="9" fillId="0" borderId="47" xfId="1" applyNumberFormat="1" applyFont="1" applyBorder="1" applyAlignment="1">
      <alignment horizontal="left"/>
    </xf>
    <xf numFmtId="164" fontId="9" fillId="0" borderId="63" xfId="1" applyNumberFormat="1" applyFont="1" applyBorder="1"/>
    <xf numFmtId="164" fontId="9" fillId="0" borderId="56" xfId="1" applyNumberFormat="1" applyFont="1" applyBorder="1"/>
    <xf numFmtId="164" fontId="9" fillId="0" borderId="56" xfId="1" applyNumberFormat="1" applyFont="1" applyBorder="1" applyAlignment="1">
      <alignment horizontal="left"/>
    </xf>
    <xf numFmtId="164" fontId="9" fillId="0" borderId="55" xfId="1" applyNumberFormat="1" applyFont="1" applyBorder="1"/>
    <xf numFmtId="164" fontId="9" fillId="0" borderId="57" xfId="1" applyNumberFormat="1" applyFont="1" applyBorder="1" applyAlignment="1">
      <alignment horizontal="left"/>
    </xf>
    <xf numFmtId="164" fontId="9" fillId="0" borderId="58" xfId="1" applyNumberFormat="1" applyFont="1" applyBorder="1"/>
    <xf numFmtId="0" fontId="15" fillId="0" borderId="0" xfId="0" applyFont="1"/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0" fillId="3" borderId="13" xfId="1" applyNumberFormat="1" applyFont="1" applyFill="1" applyBorder="1" applyAlignment="1">
      <alignment horizontal="left"/>
    </xf>
    <xf numFmtId="164" fontId="10" fillId="3" borderId="14" xfId="1" applyNumberFormat="1" applyFont="1" applyFill="1" applyBorder="1" applyAlignment="1">
      <alignment horizontal="left"/>
    </xf>
    <xf numFmtId="164" fontId="10" fillId="3" borderId="17" xfId="1" applyNumberFormat="1" applyFont="1" applyFill="1" applyBorder="1" applyAlignment="1">
      <alignment horizontal="right"/>
    </xf>
    <xf numFmtId="164" fontId="10" fillId="3" borderId="18" xfId="1" applyNumberFormat="1" applyFont="1" applyFill="1" applyBorder="1"/>
    <xf numFmtId="164" fontId="10" fillId="3" borderId="17" xfId="1" applyNumberFormat="1" applyFont="1" applyFill="1" applyBorder="1"/>
    <xf numFmtId="164" fontId="10" fillId="3" borderId="25" xfId="1" applyNumberFormat="1" applyFont="1" applyFill="1" applyBorder="1"/>
    <xf numFmtId="164" fontId="10" fillId="3" borderId="26" xfId="1" applyNumberFormat="1" applyFont="1" applyFill="1" applyBorder="1"/>
    <xf numFmtId="164" fontId="10" fillId="3" borderId="13" xfId="1" applyNumberFormat="1" applyFont="1" applyFill="1" applyBorder="1"/>
    <xf numFmtId="43" fontId="10" fillId="3" borderId="14" xfId="0" applyNumberFormat="1" applyFont="1" applyFill="1" applyBorder="1" applyAlignment="1">
      <alignment horizontal="center"/>
    </xf>
    <xf numFmtId="43" fontId="10" fillId="3" borderId="18" xfId="0" applyNumberFormat="1" applyFont="1" applyFill="1" applyBorder="1" applyAlignment="1">
      <alignment horizontal="center"/>
    </xf>
    <xf numFmtId="164" fontId="10" fillId="3" borderId="27" xfId="1" applyNumberFormat="1" applyFont="1" applyFill="1" applyBorder="1" applyAlignment="1">
      <alignment horizontal="right"/>
    </xf>
    <xf numFmtId="164" fontId="10" fillId="3" borderId="28" xfId="1" applyNumberFormat="1" applyFont="1" applyFill="1" applyBorder="1"/>
    <xf numFmtId="43" fontId="10" fillId="3" borderId="13" xfId="0" applyNumberFormat="1" applyFont="1" applyFill="1" applyBorder="1" applyAlignment="1">
      <alignment horizontal="center"/>
    </xf>
    <xf numFmtId="43" fontId="10" fillId="3" borderId="17" xfId="0" applyNumberFormat="1" applyFont="1" applyFill="1" applyBorder="1" applyAlignment="1">
      <alignment horizontal="center"/>
    </xf>
    <xf numFmtId="164" fontId="10" fillId="3" borderId="27" xfId="1" applyNumberFormat="1" applyFont="1" applyFill="1" applyBorder="1"/>
    <xf numFmtId="164" fontId="10" fillId="5" borderId="13" xfId="1" applyNumberFormat="1" applyFont="1" applyFill="1" applyBorder="1" applyAlignment="1">
      <alignment horizontal="left"/>
    </xf>
    <xf numFmtId="164" fontId="10" fillId="5" borderId="14" xfId="1" applyNumberFormat="1" applyFont="1" applyFill="1" applyBorder="1" applyAlignment="1">
      <alignment horizontal="left"/>
    </xf>
    <xf numFmtId="164" fontId="10" fillId="5" borderId="17" xfId="1" applyNumberFormat="1" applyFont="1" applyFill="1" applyBorder="1"/>
    <xf numFmtId="164" fontId="10" fillId="5" borderId="18" xfId="1" applyNumberFormat="1" applyFont="1" applyFill="1" applyBorder="1"/>
    <xf numFmtId="164" fontId="10" fillId="5" borderId="25" xfId="1" applyNumberFormat="1" applyFont="1" applyFill="1" applyBorder="1"/>
    <xf numFmtId="164" fontId="10" fillId="5" borderId="26" xfId="1" applyNumberFormat="1" applyFont="1" applyFill="1" applyBorder="1"/>
    <xf numFmtId="43" fontId="10" fillId="5" borderId="13" xfId="0" applyNumberFormat="1" applyFont="1" applyFill="1" applyBorder="1" applyAlignment="1">
      <alignment horizontal="center"/>
    </xf>
    <xf numFmtId="43" fontId="10" fillId="5" borderId="14" xfId="0" applyNumberFormat="1" applyFont="1" applyFill="1" applyBorder="1" applyAlignment="1">
      <alignment horizontal="center"/>
    </xf>
    <xf numFmtId="43" fontId="10" fillId="5" borderId="17" xfId="0" applyNumberFormat="1" applyFont="1" applyFill="1" applyBorder="1" applyAlignment="1">
      <alignment horizontal="center"/>
    </xf>
    <xf numFmtId="43" fontId="10" fillId="5" borderId="18" xfId="0" applyNumberFormat="1" applyFont="1" applyFill="1" applyBorder="1" applyAlignment="1">
      <alignment horizontal="center"/>
    </xf>
    <xf numFmtId="164" fontId="10" fillId="5" borderId="27" xfId="1" applyNumberFormat="1" applyFont="1" applyFill="1" applyBorder="1"/>
    <xf numFmtId="164" fontId="10" fillId="5" borderId="28" xfId="1" applyNumberFormat="1" applyFont="1" applyFill="1" applyBorder="1"/>
    <xf numFmtId="0" fontId="10" fillId="4" borderId="5" xfId="0" applyFont="1" applyFill="1" applyBorder="1" applyAlignment="1">
      <alignment horizontal="left"/>
    </xf>
    <xf numFmtId="164" fontId="10" fillId="4" borderId="4" xfId="1" applyNumberFormat="1" applyFont="1" applyFill="1" applyBorder="1" applyAlignment="1">
      <alignment horizontal="left"/>
    </xf>
    <xf numFmtId="0" fontId="10" fillId="4" borderId="8" xfId="0" applyFont="1" applyFill="1" applyBorder="1"/>
    <xf numFmtId="0" fontId="13" fillId="4" borderId="6" xfId="1" applyNumberFormat="1" applyFont="1" applyFill="1" applyBorder="1" applyAlignment="1">
      <alignment horizontal="right"/>
    </xf>
    <xf numFmtId="0" fontId="10" fillId="4" borderId="0" xfId="0" applyFont="1" applyFill="1" applyBorder="1"/>
    <xf numFmtId="164" fontId="13" fillId="4" borderId="6" xfId="1" applyNumberFormat="1" applyFont="1" applyFill="1" applyBorder="1" applyAlignment="1">
      <alignment horizontal="right"/>
    </xf>
    <xf numFmtId="164" fontId="10" fillId="4" borderId="6" xfId="1" applyNumberFormat="1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0" fontId="10" fillId="4" borderId="5" xfId="0" applyFont="1" applyFill="1" applyBorder="1"/>
    <xf numFmtId="164" fontId="10" fillId="4" borderId="4" xfId="1" applyNumberFormat="1" applyFont="1" applyFill="1" applyBorder="1"/>
    <xf numFmtId="0" fontId="10" fillId="4" borderId="7" xfId="0" applyFont="1" applyFill="1" applyBorder="1"/>
    <xf numFmtId="0" fontId="12" fillId="2" borderId="11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/>
    </xf>
    <xf numFmtId="0" fontId="10" fillId="4" borderId="17" xfId="0" applyFont="1" applyFill="1" applyBorder="1"/>
    <xf numFmtId="0" fontId="10" fillId="4" borderId="25" xfId="0" applyFont="1" applyFill="1" applyBorder="1"/>
    <xf numFmtId="0" fontId="10" fillId="4" borderId="13" xfId="0" applyFont="1" applyFill="1" applyBorder="1"/>
    <xf numFmtId="0" fontId="10" fillId="4" borderId="27" xfId="0" applyFont="1" applyFill="1" applyBorder="1"/>
    <xf numFmtId="0" fontId="10" fillId="4" borderId="36" xfId="0" applyFont="1" applyFill="1" applyBorder="1"/>
    <xf numFmtId="164" fontId="10" fillId="4" borderId="60" xfId="1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43" fontId="10" fillId="5" borderId="5" xfId="0" applyNumberFormat="1" applyFont="1" applyFill="1" applyBorder="1" applyAlignment="1">
      <alignment horizontal="center"/>
    </xf>
    <xf numFmtId="43" fontId="10" fillId="5" borderId="55" xfId="0" applyNumberFormat="1" applyFont="1" applyFill="1" applyBorder="1" applyAlignment="1">
      <alignment horizontal="center"/>
    </xf>
    <xf numFmtId="43" fontId="10" fillId="5" borderId="23" xfId="0" applyNumberFormat="1" applyFont="1" applyFill="1" applyBorder="1" applyAlignment="1">
      <alignment horizontal="center"/>
    </xf>
    <xf numFmtId="164" fontId="10" fillId="5" borderId="52" xfId="1" applyNumberFormat="1" applyFont="1" applyFill="1" applyBorder="1" applyAlignment="1">
      <alignment horizontal="center"/>
    </xf>
    <xf numFmtId="164" fontId="10" fillId="5" borderId="56" xfId="1" applyNumberFormat="1" applyFont="1" applyFill="1" applyBorder="1" applyAlignment="1">
      <alignment horizontal="center"/>
    </xf>
    <xf numFmtId="164" fontId="10" fillId="5" borderId="16" xfId="1" applyNumberFormat="1" applyFont="1" applyFill="1" applyBorder="1" applyAlignment="1">
      <alignment horizontal="center"/>
    </xf>
    <xf numFmtId="164" fontId="7" fillId="5" borderId="52" xfId="1" applyNumberFormat="1" applyFont="1" applyFill="1" applyBorder="1" applyAlignment="1">
      <alignment horizontal="center"/>
    </xf>
    <xf numFmtId="164" fontId="7" fillId="5" borderId="16" xfId="1" applyNumberFormat="1" applyFont="1" applyFill="1" applyBorder="1" applyAlignment="1">
      <alignment horizontal="center"/>
    </xf>
    <xf numFmtId="164" fontId="7" fillId="5" borderId="56" xfId="1" applyNumberFormat="1" applyFont="1" applyFill="1" applyBorder="1" applyAlignment="1">
      <alignment horizontal="center"/>
    </xf>
    <xf numFmtId="164" fontId="7" fillId="5" borderId="5" xfId="1" applyNumberFormat="1" applyFont="1" applyFill="1" applyBorder="1" applyAlignment="1">
      <alignment horizontal="center"/>
    </xf>
    <xf numFmtId="164" fontId="10" fillId="5" borderId="55" xfId="1" applyNumberFormat="1" applyFont="1" applyFill="1" applyBorder="1" applyAlignment="1">
      <alignment horizontal="center"/>
    </xf>
    <xf numFmtId="164" fontId="10" fillId="5" borderId="14" xfId="1" applyNumberFormat="1" applyFont="1" applyFill="1" applyBorder="1" applyAlignment="1">
      <alignment horizontal="center"/>
    </xf>
    <xf numFmtId="164" fontId="10" fillId="5" borderId="0" xfId="1" applyNumberFormat="1" applyFont="1" applyFill="1" applyBorder="1"/>
    <xf numFmtId="164" fontId="10" fillId="5" borderId="57" xfId="1" applyNumberFormat="1" applyFont="1" applyFill="1" applyBorder="1"/>
    <xf numFmtId="164" fontId="10" fillId="5" borderId="52" xfId="1" applyNumberFormat="1" applyFont="1" applyFill="1" applyBorder="1"/>
    <xf numFmtId="164" fontId="10" fillId="5" borderId="29" xfId="1" applyNumberFormat="1" applyFont="1" applyFill="1" applyBorder="1"/>
    <xf numFmtId="164" fontId="10" fillId="5" borderId="5" xfId="1" applyNumberFormat="1" applyFont="1" applyFill="1" applyBorder="1"/>
    <xf numFmtId="164" fontId="7" fillId="5" borderId="52" xfId="1" applyNumberFormat="1" applyFont="1" applyFill="1" applyBorder="1"/>
    <xf numFmtId="43" fontId="10" fillId="5" borderId="56" xfId="0" applyNumberFormat="1" applyFont="1" applyFill="1" applyBorder="1" applyAlignment="1">
      <alignment horizontal="center"/>
    </xf>
    <xf numFmtId="43" fontId="10" fillId="5" borderId="16" xfId="0" applyNumberFormat="1" applyFont="1" applyFill="1" applyBorder="1" applyAlignment="1">
      <alignment horizontal="center"/>
    </xf>
    <xf numFmtId="164" fontId="7" fillId="5" borderId="5" xfId="1" applyNumberFormat="1" applyFont="1" applyFill="1" applyBorder="1"/>
    <xf numFmtId="0" fontId="7" fillId="5" borderId="53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164" fontId="10" fillId="3" borderId="15" xfId="1" applyNumberFormat="1" applyFont="1" applyFill="1" applyBorder="1" applyAlignment="1">
      <alignment horizontal="left"/>
    </xf>
    <xf numFmtId="164" fontId="10" fillId="3" borderId="16" xfId="1" applyNumberFormat="1" applyFont="1" applyFill="1" applyBorder="1" applyAlignment="1">
      <alignment horizontal="center"/>
    </xf>
    <xf numFmtId="164" fontId="10" fillId="3" borderId="15" xfId="1" applyNumberFormat="1" applyFont="1" applyFill="1" applyBorder="1" applyAlignment="1">
      <alignment horizontal="center"/>
    </xf>
    <xf numFmtId="164" fontId="10" fillId="3" borderId="15" xfId="1" applyNumberFormat="1" applyFont="1" applyFill="1" applyBorder="1"/>
    <xf numFmtId="164" fontId="7" fillId="3" borderId="15" xfId="1" applyNumberFormat="1" applyFont="1" applyFill="1" applyBorder="1" applyAlignment="1">
      <alignment horizontal="center"/>
    </xf>
    <xf numFmtId="164" fontId="7" fillId="3" borderId="16" xfId="1" applyNumberFormat="1" applyFont="1" applyFill="1" applyBorder="1" applyAlignment="1">
      <alignment horizontal="center"/>
    </xf>
    <xf numFmtId="164" fontId="10" fillId="3" borderId="29" xfId="1" applyNumberFormat="1" applyFont="1" applyFill="1" applyBorder="1" applyAlignment="1">
      <alignment horizontal="center"/>
    </xf>
    <xf numFmtId="164" fontId="7" fillId="3" borderId="9" xfId="1" applyNumberFormat="1" applyFont="1" applyFill="1" applyBorder="1" applyAlignment="1">
      <alignment horizontal="center"/>
    </xf>
    <xf numFmtId="164" fontId="10" fillId="3" borderId="14" xfId="1" applyNumberFormat="1" applyFont="1" applyFill="1" applyBorder="1"/>
    <xf numFmtId="164" fontId="10" fillId="3" borderId="13" xfId="1" applyNumberFormat="1" applyFont="1" applyFill="1" applyBorder="1" applyAlignment="1">
      <alignment horizontal="center"/>
    </xf>
    <xf numFmtId="164" fontId="10" fillId="3" borderId="14" xfId="1" applyNumberFormat="1" applyFont="1" applyFill="1" applyBorder="1" applyAlignment="1">
      <alignment horizontal="center"/>
    </xf>
    <xf numFmtId="43" fontId="10" fillId="3" borderId="16" xfId="0" applyNumberFormat="1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64" fontId="10" fillId="5" borderId="56" xfId="1" applyNumberFormat="1" applyFont="1" applyFill="1" applyBorder="1"/>
    <xf numFmtId="164" fontId="10" fillId="5" borderId="55" xfId="1" applyNumberFormat="1" applyFont="1" applyFill="1" applyBorder="1"/>
    <xf numFmtId="0" fontId="6" fillId="4" borderId="25" xfId="0" applyFont="1" applyFill="1" applyBorder="1"/>
    <xf numFmtId="164" fontId="6" fillId="4" borderId="4" xfId="1" applyNumberFormat="1" applyFont="1" applyFill="1" applyBorder="1"/>
    <xf numFmtId="0" fontId="6" fillId="4" borderId="1" xfId="0" applyFont="1" applyFill="1" applyBorder="1" applyAlignment="1">
      <alignment horizontal="left"/>
    </xf>
    <xf numFmtId="164" fontId="6" fillId="4" borderId="9" xfId="1" applyNumberFormat="1" applyFont="1" applyFill="1" applyBorder="1" applyAlignment="1">
      <alignment horizontal="left"/>
    </xf>
    <xf numFmtId="0" fontId="6" fillId="4" borderId="15" xfId="0" applyFont="1" applyFill="1" applyBorder="1"/>
    <xf numFmtId="164" fontId="6" fillId="4" borderId="9" xfId="1" applyNumberFormat="1" applyFont="1" applyFill="1" applyBorder="1" applyAlignment="1">
      <alignment horizontal="center"/>
    </xf>
    <xf numFmtId="0" fontId="6" fillId="4" borderId="44" xfId="0" applyFont="1" applyFill="1" applyBorder="1"/>
    <xf numFmtId="0" fontId="6" fillId="4" borderId="1" xfId="0" applyFont="1" applyFill="1" applyBorder="1"/>
    <xf numFmtId="164" fontId="6" fillId="4" borderId="9" xfId="1" applyNumberFormat="1" applyFont="1" applyFill="1" applyBorder="1"/>
    <xf numFmtId="0" fontId="6" fillId="4" borderId="13" xfId="0" applyFont="1" applyFill="1" applyBorder="1"/>
    <xf numFmtId="164" fontId="6" fillId="4" borderId="9" xfId="1" applyNumberFormat="1" applyFont="1" applyFill="1" applyBorder="1" applyAlignment="1">
      <alignment horizontal="right"/>
    </xf>
    <xf numFmtId="0" fontId="6" fillId="4" borderId="3" xfId="0" applyFont="1" applyFill="1" applyBorder="1"/>
    <xf numFmtId="0" fontId="6" fillId="4" borderId="33" xfId="0" applyFont="1" applyFill="1" applyBorder="1"/>
    <xf numFmtId="0" fontId="6" fillId="4" borderId="8" xfId="0" applyFont="1" applyFill="1" applyBorder="1"/>
    <xf numFmtId="164" fontId="6" fillId="4" borderId="6" xfId="1" applyNumberFormat="1" applyFont="1" applyFill="1" applyBorder="1"/>
    <xf numFmtId="0" fontId="6" fillId="4" borderId="17" xfId="0" applyFont="1" applyFill="1" applyBorder="1"/>
    <xf numFmtId="0" fontId="6" fillId="4" borderId="19" xfId="0" applyFont="1" applyFill="1" applyBorder="1"/>
    <xf numFmtId="0" fontId="6" fillId="4" borderId="46" xfId="0" applyFont="1" applyFill="1" applyBorder="1"/>
    <xf numFmtId="0" fontId="6" fillId="4" borderId="32" xfId="0" applyFont="1" applyFill="1" applyBorder="1" applyAlignment="1">
      <alignment horizontal="center"/>
    </xf>
    <xf numFmtId="164" fontId="10" fillId="4" borderId="3" xfId="1" applyNumberFormat="1" applyFont="1" applyFill="1" applyBorder="1" applyAlignment="1">
      <alignment horizontal="left"/>
    </xf>
    <xf numFmtId="164" fontId="13" fillId="4" borderId="8" xfId="1" applyNumberFormat="1" applyFont="1" applyFill="1" applyBorder="1" applyAlignment="1">
      <alignment horizontal="right"/>
    </xf>
    <xf numFmtId="164" fontId="10" fillId="4" borderId="8" xfId="1" applyNumberFormat="1" applyFont="1" applyFill="1" applyBorder="1"/>
    <xf numFmtId="164" fontId="10" fillId="4" borderId="3" xfId="1" applyNumberFormat="1" applyFont="1" applyFill="1" applyBorder="1"/>
    <xf numFmtId="0" fontId="11" fillId="2" borderId="11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/>
    </xf>
    <xf numFmtId="0" fontId="9" fillId="4" borderId="17" xfId="0" applyFont="1" applyFill="1" applyBorder="1"/>
    <xf numFmtId="0" fontId="9" fillId="4" borderId="25" xfId="0" applyFont="1" applyFill="1" applyBorder="1"/>
    <xf numFmtId="0" fontId="9" fillId="4" borderId="13" xfId="0" applyFont="1" applyFill="1" applyBorder="1"/>
    <xf numFmtId="0" fontId="9" fillId="4" borderId="27" xfId="0" applyFont="1" applyFill="1" applyBorder="1"/>
    <xf numFmtId="0" fontId="10" fillId="4" borderId="1" xfId="0" applyFont="1" applyFill="1" applyBorder="1" applyAlignment="1">
      <alignment horizontal="left"/>
    </xf>
    <xf numFmtId="164" fontId="10" fillId="4" borderId="9" xfId="1" applyNumberFormat="1" applyFont="1" applyFill="1" applyBorder="1" applyAlignment="1">
      <alignment horizontal="left"/>
    </xf>
    <xf numFmtId="0" fontId="10" fillId="4" borderId="1" xfId="0" applyFont="1" applyFill="1" applyBorder="1"/>
    <xf numFmtId="164" fontId="10" fillId="4" borderId="9" xfId="1" applyNumberFormat="1" applyFont="1" applyFill="1" applyBorder="1" applyAlignment="1">
      <alignment horizontal="center"/>
    </xf>
    <xf numFmtId="0" fontId="10" fillId="4" borderId="4" xfId="0" applyFont="1" applyFill="1" applyBorder="1"/>
    <xf numFmtId="164" fontId="10" fillId="4" borderId="9" xfId="1" applyNumberFormat="1" applyFont="1" applyFill="1" applyBorder="1"/>
    <xf numFmtId="0" fontId="7" fillId="4" borderId="1" xfId="0" applyFont="1" applyFill="1" applyBorder="1"/>
    <xf numFmtId="164" fontId="10" fillId="4" borderId="9" xfId="1" applyNumberFormat="1" applyFont="1" applyFill="1" applyBorder="1" applyAlignment="1">
      <alignment horizontal="right"/>
    </xf>
    <xf numFmtId="0" fontId="10" fillId="4" borderId="6" xfId="0" applyFont="1" applyFill="1" applyBorder="1"/>
    <xf numFmtId="0" fontId="7" fillId="4" borderId="3" xfId="0" applyFont="1" applyFill="1" applyBorder="1"/>
    <xf numFmtId="0" fontId="10" fillId="4" borderId="9" xfId="0" applyFont="1" applyFill="1" applyBorder="1" applyAlignment="1">
      <alignment horizontal="center"/>
    </xf>
    <xf numFmtId="43" fontId="10" fillId="3" borderId="23" xfId="0" applyNumberFormat="1" applyFont="1" applyFill="1" applyBorder="1" applyAlignment="1">
      <alignment horizontal="center"/>
    </xf>
    <xf numFmtId="43" fontId="10" fillId="3" borderId="4" xfId="0" applyNumberFormat="1" applyFont="1" applyFill="1" applyBorder="1" applyAlignment="1">
      <alignment horizontal="center"/>
    </xf>
    <xf numFmtId="164" fontId="10" fillId="3" borderId="9" xfId="1" applyNumberFormat="1" applyFont="1" applyFill="1" applyBorder="1" applyAlignment="1">
      <alignment horizontal="center"/>
    </xf>
    <xf numFmtId="164" fontId="10" fillId="3" borderId="23" xfId="1" applyNumberFormat="1" applyFont="1" applyFill="1" applyBorder="1" applyAlignment="1">
      <alignment horizontal="center"/>
    </xf>
    <xf numFmtId="164" fontId="10" fillId="3" borderId="4" xfId="1" applyNumberFormat="1" applyFont="1" applyFill="1" applyBorder="1" applyAlignment="1">
      <alignment horizontal="center"/>
    </xf>
    <xf numFmtId="164" fontId="10" fillId="3" borderId="24" xfId="1" applyNumberFormat="1" applyFont="1" applyFill="1" applyBorder="1"/>
    <xf numFmtId="164" fontId="10" fillId="3" borderId="6" xfId="1" applyNumberFormat="1" applyFont="1" applyFill="1" applyBorder="1"/>
    <xf numFmtId="164" fontId="10" fillId="3" borderId="29" xfId="1" applyNumberFormat="1" applyFont="1" applyFill="1" applyBorder="1"/>
    <xf numFmtId="43" fontId="10" fillId="3" borderId="9" xfId="0" applyNumberFormat="1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164" fontId="9" fillId="0" borderId="8" xfId="1" applyNumberFormat="1" applyFont="1" applyFill="1" applyBorder="1"/>
    <xf numFmtId="0" fontId="9" fillId="0" borderId="34" xfId="0" applyFont="1" applyFill="1" applyBorder="1"/>
    <xf numFmtId="41" fontId="9" fillId="0" borderId="13" xfId="1" applyNumberFormat="1" applyFont="1" applyBorder="1" applyAlignment="1">
      <alignment horizontal="center"/>
    </xf>
    <xf numFmtId="9" fontId="9" fillId="0" borderId="17" xfId="1" applyNumberFormat="1" applyFont="1" applyBorder="1" applyAlignment="1">
      <alignment horizontal="center"/>
    </xf>
    <xf numFmtId="41" fontId="9" fillId="0" borderId="17" xfId="1" applyFont="1" applyBorder="1" applyAlignment="1">
      <alignment horizontal="center"/>
    </xf>
    <xf numFmtId="41" fontId="9" fillId="0" borderId="25" xfId="1" applyFont="1" applyBorder="1" applyAlignment="1">
      <alignment horizontal="center"/>
    </xf>
    <xf numFmtId="41" fontId="9" fillId="0" borderId="13" xfId="1" applyFont="1" applyFill="1" applyBorder="1" applyAlignment="1">
      <alignment horizontal="center"/>
    </xf>
    <xf numFmtId="41" fontId="9" fillId="0" borderId="17" xfId="1" applyFont="1" applyFill="1" applyBorder="1" applyAlignment="1">
      <alignment horizontal="center"/>
    </xf>
    <xf numFmtId="166" fontId="11" fillId="0" borderId="19" xfId="0" applyNumberFormat="1" applyFont="1" applyBorder="1" applyAlignment="1">
      <alignment horizontal="center"/>
    </xf>
    <xf numFmtId="43" fontId="11" fillId="0" borderId="46" xfId="0" applyNumberFormat="1" applyFont="1" applyBorder="1"/>
    <xf numFmtId="43" fontId="11" fillId="0" borderId="20" xfId="0" applyNumberFormat="1" applyFont="1" applyBorder="1"/>
    <xf numFmtId="43" fontId="11" fillId="0" borderId="19" xfId="0" applyNumberFormat="1" applyFont="1" applyBorder="1"/>
    <xf numFmtId="0" fontId="12" fillId="5" borderId="40" xfId="0" applyFont="1" applyFill="1" applyBorder="1" applyAlignment="1">
      <alignment horizontal="center"/>
    </xf>
    <xf numFmtId="0" fontId="12" fillId="5" borderId="66" xfId="0" applyFont="1" applyFill="1" applyBorder="1" applyAlignment="1">
      <alignment horizontal="center"/>
    </xf>
    <xf numFmtId="0" fontId="12" fillId="5" borderId="51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1" fontId="9" fillId="5" borderId="13" xfId="1" applyNumberFormat="1" applyFont="1" applyFill="1" applyBorder="1" applyAlignment="1">
      <alignment horizontal="left"/>
    </xf>
    <xf numFmtId="164" fontId="9" fillId="5" borderId="14" xfId="1" applyNumberFormat="1" applyFont="1" applyFill="1" applyBorder="1" applyAlignment="1">
      <alignment horizontal="left"/>
    </xf>
    <xf numFmtId="164" fontId="9" fillId="5" borderId="38" xfId="1" applyNumberFormat="1" applyFont="1" applyFill="1" applyBorder="1" applyAlignment="1">
      <alignment horizontal="left"/>
    </xf>
    <xf numFmtId="43" fontId="9" fillId="5" borderId="5" xfId="0" applyNumberFormat="1" applyFont="1" applyFill="1" applyBorder="1" applyAlignment="1">
      <alignment horizontal="left"/>
    </xf>
    <xf numFmtId="9" fontId="9" fillId="5" borderId="17" xfId="1" applyNumberFormat="1" applyFont="1" applyFill="1" applyBorder="1"/>
    <xf numFmtId="164" fontId="9" fillId="5" borderId="18" xfId="1" applyNumberFormat="1" applyFont="1" applyFill="1" applyBorder="1"/>
    <xf numFmtId="164" fontId="9" fillId="5" borderId="34" xfId="1" applyNumberFormat="1" applyFont="1" applyFill="1" applyBorder="1"/>
    <xf numFmtId="0" fontId="9" fillId="5" borderId="0" xfId="0" applyFont="1" applyFill="1" applyBorder="1"/>
    <xf numFmtId="41" fontId="9" fillId="5" borderId="17" xfId="1" applyFont="1" applyFill="1" applyBorder="1"/>
    <xf numFmtId="41" fontId="9" fillId="5" borderId="25" xfId="1" applyFont="1" applyFill="1" applyBorder="1"/>
    <xf numFmtId="164" fontId="9" fillId="5" borderId="26" xfId="1" applyNumberFormat="1" applyFont="1" applyFill="1" applyBorder="1"/>
    <xf numFmtId="164" fontId="9" fillId="5" borderId="39" xfId="1" applyNumberFormat="1" applyFont="1" applyFill="1" applyBorder="1"/>
    <xf numFmtId="0" fontId="9" fillId="5" borderId="7" xfId="0" applyFont="1" applyFill="1" applyBorder="1"/>
    <xf numFmtId="41" fontId="9" fillId="5" borderId="13" xfId="1" applyFont="1" applyFill="1" applyBorder="1"/>
    <xf numFmtId="164" fontId="9" fillId="5" borderId="18" xfId="1" applyNumberFormat="1" applyFont="1" applyFill="1" applyBorder="1" applyAlignment="1">
      <alignment horizontal="left"/>
    </xf>
    <xf numFmtId="164" fontId="9" fillId="5" borderId="34" xfId="1" applyNumberFormat="1" applyFont="1" applyFill="1" applyBorder="1" applyAlignment="1">
      <alignment horizontal="left"/>
    </xf>
    <xf numFmtId="43" fontId="9" fillId="5" borderId="0" xfId="0" applyNumberFormat="1" applyFont="1" applyFill="1" applyBorder="1" applyAlignment="1">
      <alignment horizontal="left"/>
    </xf>
    <xf numFmtId="43" fontId="11" fillId="5" borderId="19" xfId="0" applyNumberFormat="1" applyFont="1" applyFill="1" applyBorder="1"/>
    <xf numFmtId="43" fontId="11" fillId="5" borderId="20" xfId="0" applyNumberFormat="1" applyFont="1" applyFill="1" applyBorder="1"/>
    <xf numFmtId="43" fontId="11" fillId="5" borderId="63" xfId="0" applyNumberFormat="1" applyFont="1" applyFill="1" applyBorder="1"/>
    <xf numFmtId="43" fontId="11" fillId="5" borderId="52" xfId="0" applyNumberFormat="1" applyFont="1" applyFill="1" applyBorder="1"/>
    <xf numFmtId="0" fontId="12" fillId="5" borderId="59" xfId="0" applyFont="1" applyFill="1" applyBorder="1" applyAlignment="1">
      <alignment horizontal="center"/>
    </xf>
    <xf numFmtId="0" fontId="12" fillId="5" borderId="54" xfId="0" applyFont="1" applyFill="1" applyBorder="1" applyAlignment="1">
      <alignment horizontal="center"/>
    </xf>
    <xf numFmtId="0" fontId="12" fillId="5" borderId="41" xfId="0" applyFont="1" applyFill="1" applyBorder="1" applyAlignment="1">
      <alignment horizontal="center"/>
    </xf>
    <xf numFmtId="164" fontId="9" fillId="5" borderId="4" xfId="1" applyNumberFormat="1" applyFont="1" applyFill="1" applyBorder="1" applyAlignment="1">
      <alignment horizontal="left"/>
    </xf>
    <xf numFmtId="164" fontId="9" fillId="5" borderId="55" xfId="1" applyNumberFormat="1" applyFont="1" applyFill="1" applyBorder="1" applyAlignment="1">
      <alignment horizontal="left"/>
    </xf>
    <xf numFmtId="43" fontId="9" fillId="5" borderId="38" xfId="0" applyNumberFormat="1" applyFont="1" applyFill="1" applyBorder="1" applyAlignment="1">
      <alignment horizontal="left"/>
    </xf>
    <xf numFmtId="41" fontId="9" fillId="5" borderId="15" xfId="1" applyFont="1" applyFill="1" applyBorder="1"/>
    <xf numFmtId="164" fontId="9" fillId="5" borderId="9" xfId="1" applyNumberFormat="1" applyFont="1" applyFill="1" applyBorder="1"/>
    <xf numFmtId="164" fontId="9" fillId="5" borderId="56" xfId="1" applyNumberFormat="1" applyFont="1" applyFill="1" applyBorder="1"/>
    <xf numFmtId="164" fontId="9" fillId="5" borderId="47" xfId="1" applyNumberFormat="1" applyFont="1" applyFill="1" applyBorder="1"/>
    <xf numFmtId="41" fontId="9" fillId="5" borderId="44" xfId="1" applyFont="1" applyFill="1" applyBorder="1"/>
    <xf numFmtId="164" fontId="9" fillId="5" borderId="9" xfId="1" applyNumberFormat="1" applyFont="1" applyFill="1" applyBorder="1" applyAlignment="1">
      <alignment horizontal="left"/>
    </xf>
    <xf numFmtId="164" fontId="9" fillId="5" borderId="56" xfId="1" applyNumberFormat="1" applyFont="1" applyFill="1" applyBorder="1" applyAlignment="1">
      <alignment horizontal="left"/>
    </xf>
    <xf numFmtId="164" fontId="9" fillId="5" borderId="47" xfId="1" applyNumberFormat="1" applyFont="1" applyFill="1" applyBorder="1" applyAlignment="1">
      <alignment horizontal="left"/>
    </xf>
    <xf numFmtId="164" fontId="9" fillId="5" borderId="4" xfId="1" applyNumberFormat="1" applyFont="1" applyFill="1" applyBorder="1"/>
    <xf numFmtId="164" fontId="9" fillId="5" borderId="55" xfId="1" applyNumberFormat="1" applyFont="1" applyFill="1" applyBorder="1"/>
    <xf numFmtId="164" fontId="9" fillId="5" borderId="38" xfId="1" applyNumberFormat="1" applyFont="1" applyFill="1" applyBorder="1"/>
    <xf numFmtId="164" fontId="9" fillId="5" borderId="5" xfId="1" applyNumberFormat="1" applyFont="1" applyFill="1" applyBorder="1"/>
    <xf numFmtId="41" fontId="9" fillId="5" borderId="33" xfId="1" applyFont="1" applyFill="1" applyBorder="1"/>
    <xf numFmtId="164" fontId="9" fillId="5" borderId="0" xfId="1" applyNumberFormat="1" applyFont="1" applyFill="1" applyBorder="1"/>
    <xf numFmtId="164" fontId="9" fillId="5" borderId="57" xfId="1" applyNumberFormat="1" applyFont="1" applyFill="1" applyBorder="1"/>
    <xf numFmtId="164" fontId="9" fillId="5" borderId="0" xfId="1" applyNumberFormat="1" applyFont="1" applyFill="1" applyBorder="1" applyAlignment="1">
      <alignment horizontal="left"/>
    </xf>
    <xf numFmtId="164" fontId="9" fillId="5" borderId="57" xfId="1" applyNumberFormat="1" applyFont="1" applyFill="1" applyBorder="1" applyAlignment="1">
      <alignment horizontal="left"/>
    </xf>
    <xf numFmtId="41" fontId="9" fillId="5" borderId="45" xfId="1" applyFont="1" applyFill="1" applyBorder="1"/>
    <xf numFmtId="164" fontId="9" fillId="5" borderId="7" xfId="1" applyNumberFormat="1" applyFont="1" applyFill="1" applyBorder="1"/>
    <xf numFmtId="164" fontId="9" fillId="5" borderId="61" xfId="1" applyNumberFormat="1" applyFont="1" applyFill="1" applyBorder="1"/>
    <xf numFmtId="41" fontId="9" fillId="5" borderId="19" xfId="1" applyFont="1" applyFill="1" applyBorder="1"/>
    <xf numFmtId="164" fontId="9" fillId="5" borderId="32" xfId="1" applyNumberFormat="1" applyFont="1" applyFill="1" applyBorder="1"/>
    <xf numFmtId="164" fontId="9" fillId="5" borderId="58" xfId="1" applyNumberFormat="1" applyFont="1" applyFill="1" applyBorder="1"/>
    <xf numFmtId="164" fontId="9" fillId="5" borderId="63" xfId="1" applyNumberFormat="1" applyFont="1" applyFill="1" applyBorder="1"/>
    <xf numFmtId="41" fontId="9" fillId="5" borderId="27" xfId="1" applyFont="1" applyFill="1" applyBorder="1"/>
    <xf numFmtId="0" fontId="11" fillId="0" borderId="19" xfId="0" applyFont="1" applyBorder="1"/>
    <xf numFmtId="43" fontId="11" fillId="5" borderId="46" xfId="0" applyNumberFormat="1" applyFont="1" applyFill="1" applyBorder="1"/>
    <xf numFmtId="164" fontId="9" fillId="5" borderId="37" xfId="1" applyNumberFormat="1" applyFont="1" applyFill="1" applyBorder="1"/>
    <xf numFmtId="164" fontId="9" fillId="5" borderId="28" xfId="1" applyNumberFormat="1" applyFont="1" applyFill="1" applyBorder="1"/>
    <xf numFmtId="43" fontId="11" fillId="0" borderId="35" xfId="0" applyNumberFormat="1" applyFont="1" applyBorder="1"/>
    <xf numFmtId="43" fontId="11" fillId="0" borderId="36" xfId="0" applyNumberFormat="1" applyFont="1" applyBorder="1"/>
    <xf numFmtId="43" fontId="11" fillId="0" borderId="37" xfId="0" applyNumberFormat="1" applyFont="1" applyBorder="1"/>
    <xf numFmtId="43" fontId="11" fillId="5" borderId="35" xfId="0" applyNumberFormat="1" applyFont="1" applyFill="1" applyBorder="1"/>
    <xf numFmtId="43" fontId="11" fillId="5" borderId="37" xfId="0" applyNumberFormat="1" applyFont="1" applyFill="1" applyBorder="1"/>
    <xf numFmtId="43" fontId="11" fillId="5" borderId="36" xfId="0" applyNumberFormat="1" applyFont="1" applyFill="1" applyBorder="1"/>
    <xf numFmtId="0" fontId="11" fillId="0" borderId="67" xfId="0" applyFont="1" applyBorder="1"/>
    <xf numFmtId="43" fontId="11" fillId="0" borderId="68" xfId="0" applyNumberFormat="1" applyFont="1" applyBorder="1"/>
    <xf numFmtId="43" fontId="11" fillId="0" borderId="69" xfId="0" applyNumberFormat="1" applyFont="1" applyBorder="1"/>
    <xf numFmtId="43" fontId="11" fillId="5" borderId="68" xfId="0" applyNumberFormat="1" applyFont="1" applyFill="1" applyBorder="1"/>
    <xf numFmtId="43" fontId="11" fillId="5" borderId="67" xfId="0" applyNumberFormat="1" applyFont="1" applyFill="1" applyBorder="1"/>
    <xf numFmtId="43" fontId="11" fillId="5" borderId="69" xfId="0" applyNumberFormat="1" applyFont="1" applyFill="1" applyBorder="1"/>
    <xf numFmtId="164" fontId="16" fillId="0" borderId="17" xfId="1" applyNumberFormat="1" applyFont="1" applyBorder="1" applyAlignment="1">
      <alignment horizontal="right"/>
    </xf>
    <xf numFmtId="164" fontId="16" fillId="0" borderId="17" xfId="1" applyNumberFormat="1" applyFont="1" applyBorder="1"/>
    <xf numFmtId="164" fontId="16" fillId="0" borderId="25" xfId="1" applyNumberFormat="1" applyFont="1" applyBorder="1"/>
    <xf numFmtId="164" fontId="16" fillId="0" borderId="8" xfId="1" applyNumberFormat="1" applyFont="1" applyBorder="1"/>
    <xf numFmtId="164" fontId="16" fillId="0" borderId="2" xfId="1" applyNumberFormat="1" applyFont="1" applyBorder="1"/>
    <xf numFmtId="43" fontId="9" fillId="0" borderId="0" xfId="0" applyNumberFormat="1" applyFont="1" applyBorder="1"/>
    <xf numFmtId="164" fontId="16" fillId="0" borderId="18" xfId="1" applyNumberFormat="1" applyFont="1" applyBorder="1"/>
    <xf numFmtId="41" fontId="16" fillId="0" borderId="34" xfId="0" applyNumberFormat="1" applyFont="1" applyBorder="1"/>
    <xf numFmtId="0" fontId="12" fillId="0" borderId="50" xfId="0" applyFont="1" applyBorder="1" applyAlignment="1">
      <alignment horizontal="center"/>
    </xf>
    <xf numFmtId="164" fontId="10" fillId="0" borderId="5" xfId="1" applyNumberFormat="1" applyFont="1" applyBorder="1" applyAlignment="1">
      <alignment horizontal="left"/>
    </xf>
    <xf numFmtId="164" fontId="10" fillId="0" borderId="7" xfId="1" applyNumberFormat="1" applyFont="1" applyBorder="1"/>
    <xf numFmtId="43" fontId="10" fillId="0" borderId="0" xfId="0" applyNumberFormat="1" applyFont="1" applyBorder="1" applyAlignment="1">
      <alignment horizontal="center"/>
    </xf>
    <xf numFmtId="164" fontId="10" fillId="0" borderId="36" xfId="1" applyNumberFormat="1" applyFont="1" applyBorder="1"/>
    <xf numFmtId="43" fontId="10" fillId="0" borderId="5" xfId="0" applyNumberFormat="1" applyFont="1" applyBorder="1" applyAlignment="1">
      <alignment horizontal="center"/>
    </xf>
    <xf numFmtId="164" fontId="10" fillId="0" borderId="5" xfId="1" applyNumberFormat="1" applyFont="1" applyBorder="1"/>
    <xf numFmtId="0" fontId="6" fillId="0" borderId="1" xfId="0" applyFont="1" applyBorder="1"/>
    <xf numFmtId="0" fontId="6" fillId="0" borderId="8" xfId="0" applyFont="1" applyBorder="1"/>
    <xf numFmtId="164" fontId="6" fillId="0" borderId="1" xfId="1" applyNumberFormat="1" applyFont="1" applyBorder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9" fontId="9" fillId="0" borderId="1" xfId="2" applyFont="1" applyBorder="1"/>
    <xf numFmtId="41" fontId="9" fillId="0" borderId="0" xfId="0" applyNumberFormat="1" applyFont="1"/>
    <xf numFmtId="9" fontId="0" fillId="0" borderId="0" xfId="0" applyNumberFormat="1"/>
    <xf numFmtId="43" fontId="0" fillId="0" borderId="0" xfId="3" applyFont="1"/>
    <xf numFmtId="167" fontId="0" fillId="0" borderId="0" xfId="0" applyNumberFormat="1"/>
    <xf numFmtId="9" fontId="0" fillId="0" borderId="7" xfId="0" applyNumberFormat="1" applyBorder="1"/>
    <xf numFmtId="43" fontId="0" fillId="0" borderId="7" xfId="3" applyFont="1" applyBorder="1"/>
    <xf numFmtId="9" fontId="0" fillId="0" borderId="0" xfId="2" applyFont="1"/>
    <xf numFmtId="166" fontId="0" fillId="0" borderId="0" xfId="0" applyNumberFormat="1"/>
    <xf numFmtId="166" fontId="0" fillId="0" borderId="0" xfId="3" applyNumberFormat="1" applyFont="1"/>
    <xf numFmtId="166" fontId="0" fillId="0" borderId="5" xfId="3" applyNumberFormat="1" applyFont="1" applyBorder="1"/>
    <xf numFmtId="166" fontId="0" fillId="0" borderId="7" xfId="3" applyNumberFormat="1" applyFont="1" applyBorder="1"/>
    <xf numFmtId="166" fontId="0" fillId="0" borderId="7" xfId="0" applyNumberFormat="1" applyBorder="1"/>
    <xf numFmtId="164" fontId="6" fillId="0" borderId="52" xfId="1" applyNumberFormat="1" applyFont="1" applyBorder="1" applyAlignment="1">
      <alignment horizontal="center"/>
    </xf>
    <xf numFmtId="9" fontId="6" fillId="0" borderId="0" xfId="2" applyFont="1"/>
    <xf numFmtId="0" fontId="6" fillId="0" borderId="0" xfId="0" applyFont="1"/>
    <xf numFmtId="3" fontId="6" fillId="0" borderId="0" xfId="0" applyNumberFormat="1" applyFont="1"/>
    <xf numFmtId="0" fontId="12" fillId="0" borderId="65" xfId="0" applyFont="1" applyBorder="1" applyAlignment="1">
      <alignment horizontal="center"/>
    </xf>
    <xf numFmtId="43" fontId="9" fillId="0" borderId="5" xfId="0" applyNumberFormat="1" applyFont="1" applyBorder="1" applyAlignment="1">
      <alignment horizontal="left"/>
    </xf>
    <xf numFmtId="164" fontId="9" fillId="0" borderId="52" xfId="1" applyNumberFormat="1" applyFont="1" applyBorder="1"/>
    <xf numFmtId="0" fontId="6" fillId="0" borderId="5" xfId="0" applyFont="1" applyBorder="1"/>
    <xf numFmtId="164" fontId="6" fillId="0" borderId="4" xfId="1" applyNumberFormat="1" applyFont="1" applyBorder="1"/>
    <xf numFmtId="0" fontId="6" fillId="0" borderId="0" xfId="0" applyFont="1" applyBorder="1"/>
    <xf numFmtId="164" fontId="6" fillId="0" borderId="3" xfId="1" applyNumberFormat="1" applyFont="1" applyBorder="1"/>
    <xf numFmtId="164" fontId="13" fillId="0" borderId="21" xfId="1" applyNumberFormat="1" applyFont="1" applyBorder="1" applyAlignment="1">
      <alignment horizontal="right"/>
    </xf>
    <xf numFmtId="164" fontId="6" fillId="0" borderId="15" xfId="1" applyNumberFormat="1" applyFont="1" applyBorder="1"/>
    <xf numFmtId="164" fontId="6" fillId="0" borderId="16" xfId="1" applyNumberFormat="1" applyFont="1" applyBorder="1" applyAlignment="1">
      <alignment horizontal="center"/>
    </xf>
    <xf numFmtId="164" fontId="6" fillId="0" borderId="15" xfId="1" applyNumberFormat="1" applyFont="1" applyBorder="1" applyAlignment="1">
      <alignment horizontal="left"/>
    </xf>
    <xf numFmtId="164" fontId="6" fillId="0" borderId="13" xfId="1" applyNumberFormat="1" applyFont="1" applyBorder="1"/>
    <xf numFmtId="164" fontId="6" fillId="0" borderId="15" xfId="1" applyNumberFormat="1" applyFont="1" applyBorder="1" applyAlignment="1">
      <alignment horizontal="center"/>
    </xf>
    <xf numFmtId="41" fontId="9" fillId="0" borderId="0" xfId="1" applyFont="1" applyBorder="1"/>
    <xf numFmtId="164" fontId="6" fillId="0" borderId="13" xfId="1" applyNumberFormat="1" applyFont="1" applyBorder="1" applyAlignment="1">
      <alignment horizontal="center"/>
    </xf>
    <xf numFmtId="164" fontId="10" fillId="0" borderId="17" xfId="1" applyNumberFormat="1" applyFont="1" applyBorder="1" applyAlignment="1">
      <alignment horizontal="center"/>
    </xf>
    <xf numFmtId="164" fontId="18" fillId="0" borderId="8" xfId="1" applyNumberFormat="1" applyFont="1" applyBorder="1" applyAlignment="1">
      <alignment horizontal="right"/>
    </xf>
    <xf numFmtId="0" fontId="19" fillId="0" borderId="0" xfId="0" applyFont="1"/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164" fontId="17" fillId="0" borderId="3" xfId="1" applyNumberFormat="1" applyFont="1" applyBorder="1" applyAlignment="1">
      <alignment horizontal="left"/>
    </xf>
    <xf numFmtId="43" fontId="19" fillId="0" borderId="3" xfId="0" applyNumberFormat="1" applyFont="1" applyBorder="1" applyAlignment="1">
      <alignment horizontal="left"/>
    </xf>
    <xf numFmtId="0" fontId="19" fillId="0" borderId="8" xfId="0" applyFont="1" applyBorder="1"/>
    <xf numFmtId="0" fontId="17" fillId="0" borderId="0" xfId="0" applyFont="1" applyBorder="1"/>
    <xf numFmtId="0" fontId="19" fillId="0" borderId="2" xfId="0" applyFont="1" applyBorder="1"/>
    <xf numFmtId="164" fontId="17" fillId="0" borderId="8" xfId="1" applyNumberFormat="1" applyFont="1" applyBorder="1"/>
    <xf numFmtId="0" fontId="19" fillId="0" borderId="3" xfId="0" applyFont="1" applyBorder="1"/>
    <xf numFmtId="0" fontId="17" fillId="0" borderId="5" xfId="0" applyFont="1" applyBorder="1"/>
    <xf numFmtId="164" fontId="17" fillId="0" borderId="3" xfId="1" applyNumberFormat="1" applyFont="1" applyBorder="1"/>
    <xf numFmtId="0" fontId="17" fillId="0" borderId="7" xfId="0" applyFont="1" applyBorder="1"/>
    <xf numFmtId="43" fontId="19" fillId="0" borderId="8" xfId="0" applyNumberFormat="1" applyFont="1" applyBorder="1" applyAlignment="1">
      <alignment horizontal="left"/>
    </xf>
    <xf numFmtId="164" fontId="18" fillId="0" borderId="2" xfId="1" applyNumberFormat="1" applyFont="1" applyBorder="1" applyAlignment="1">
      <alignment horizontal="right"/>
    </xf>
    <xf numFmtId="0" fontId="21" fillId="0" borderId="0" xfId="0" applyFont="1"/>
    <xf numFmtId="0" fontId="17" fillId="0" borderId="1" xfId="0" applyFont="1" applyBorder="1" applyAlignment="1">
      <alignment horizontal="left"/>
    </xf>
    <xf numFmtId="164" fontId="17" fillId="0" borderId="1" xfId="1" applyNumberFormat="1" applyFont="1" applyBorder="1" applyAlignment="1">
      <alignment horizontal="left"/>
    </xf>
    <xf numFmtId="0" fontId="19" fillId="0" borderId="1" xfId="0" applyFont="1" applyBorder="1"/>
    <xf numFmtId="164" fontId="17" fillId="0" borderId="1" xfId="1" applyNumberFormat="1" applyFont="1" applyBorder="1" applyAlignment="1">
      <alignment horizontal="center"/>
    </xf>
    <xf numFmtId="0" fontId="19" fillId="0" borderId="4" xfId="0" applyFont="1" applyBorder="1"/>
    <xf numFmtId="0" fontId="17" fillId="0" borderId="1" xfId="0" applyFont="1" applyBorder="1"/>
    <xf numFmtId="164" fontId="17" fillId="0" borderId="1" xfId="1" applyNumberFormat="1" applyFont="1" applyBorder="1"/>
    <xf numFmtId="164" fontId="17" fillId="0" borderId="1" xfId="1" applyNumberFormat="1" applyFont="1" applyBorder="1" applyAlignment="1">
      <alignment horizontal="right"/>
    </xf>
    <xf numFmtId="0" fontId="17" fillId="0" borderId="4" xfId="0" applyFont="1" applyBorder="1"/>
    <xf numFmtId="0" fontId="17" fillId="0" borderId="3" xfId="0" applyFont="1" applyBorder="1"/>
    <xf numFmtId="0" fontId="17" fillId="0" borderId="6" xfId="0" applyFont="1" applyBorder="1"/>
    <xf numFmtId="0" fontId="17" fillId="0" borderId="8" xfId="0" applyFont="1" applyBorder="1"/>
    <xf numFmtId="0" fontId="19" fillId="0" borderId="0" xfId="0" applyFont="1" applyAlignment="1">
      <alignment horizontal="left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164" fontId="10" fillId="6" borderId="13" xfId="1" applyNumberFormat="1" applyFont="1" applyFill="1" applyBorder="1" applyAlignment="1">
      <alignment horizontal="left"/>
    </xf>
    <xf numFmtId="164" fontId="10" fillId="6" borderId="14" xfId="1" applyNumberFormat="1" applyFont="1" applyFill="1" applyBorder="1" applyAlignment="1">
      <alignment horizontal="left"/>
    </xf>
    <xf numFmtId="164" fontId="10" fillId="6" borderId="17" xfId="1" applyNumberFormat="1" applyFont="1" applyFill="1" applyBorder="1"/>
    <xf numFmtId="164" fontId="10" fillId="6" borderId="18" xfId="1" applyNumberFormat="1" applyFont="1" applyFill="1" applyBorder="1"/>
    <xf numFmtId="164" fontId="10" fillId="6" borderId="25" xfId="1" applyNumberFormat="1" applyFont="1" applyFill="1" applyBorder="1"/>
    <xf numFmtId="43" fontId="10" fillId="6" borderId="17" xfId="0" applyNumberFormat="1" applyFont="1" applyFill="1" applyBorder="1" applyAlignment="1">
      <alignment horizontal="center"/>
    </xf>
    <xf numFmtId="164" fontId="10" fillId="6" borderId="27" xfId="1" applyNumberFormat="1" applyFont="1" applyFill="1" applyBorder="1"/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164" fontId="10" fillId="7" borderId="13" xfId="1" applyNumberFormat="1" applyFont="1" applyFill="1" applyBorder="1" applyAlignment="1">
      <alignment horizontal="left"/>
    </xf>
    <xf numFmtId="164" fontId="10" fillId="7" borderId="14" xfId="1" applyNumberFormat="1" applyFont="1" applyFill="1" applyBorder="1" applyAlignment="1">
      <alignment horizontal="left"/>
    </xf>
    <xf numFmtId="164" fontId="10" fillId="7" borderId="17" xfId="1" applyNumberFormat="1" applyFont="1" applyFill="1" applyBorder="1"/>
    <xf numFmtId="164" fontId="10" fillId="7" borderId="18" xfId="1" applyNumberFormat="1" applyFont="1" applyFill="1" applyBorder="1"/>
    <xf numFmtId="164" fontId="10" fillId="7" borderId="25" xfId="1" applyNumberFormat="1" applyFont="1" applyFill="1" applyBorder="1"/>
    <xf numFmtId="164" fontId="10" fillId="7" borderId="26" xfId="1" applyNumberFormat="1" applyFont="1" applyFill="1" applyBorder="1"/>
    <xf numFmtId="43" fontId="10" fillId="7" borderId="18" xfId="0" applyNumberFormat="1" applyFont="1" applyFill="1" applyBorder="1" applyAlignment="1">
      <alignment horizontal="center"/>
    </xf>
    <xf numFmtId="164" fontId="10" fillId="7" borderId="28" xfId="1" applyNumberFormat="1" applyFont="1" applyFill="1" applyBorder="1"/>
    <xf numFmtId="43" fontId="10" fillId="6" borderId="33" xfId="0" applyNumberFormat="1" applyFont="1" applyFill="1" applyBorder="1" applyAlignment="1">
      <alignment horizontal="center"/>
    </xf>
    <xf numFmtId="164" fontId="10" fillId="6" borderId="35" xfId="1" applyNumberFormat="1" applyFont="1" applyFill="1" applyBorder="1"/>
    <xf numFmtId="43" fontId="10" fillId="7" borderId="24" xfId="0" applyNumberFormat="1" applyFont="1" applyFill="1" applyBorder="1" applyAlignment="1">
      <alignment horizontal="center"/>
    </xf>
    <xf numFmtId="164" fontId="10" fillId="7" borderId="71" xfId="1" applyNumberFormat="1" applyFont="1" applyFill="1" applyBorder="1"/>
    <xf numFmtId="164" fontId="10" fillId="6" borderId="8" xfId="1" applyNumberFormat="1" applyFont="1" applyFill="1" applyBorder="1" applyAlignment="1">
      <alignment horizontal="left"/>
    </xf>
    <xf numFmtId="164" fontId="10" fillId="6" borderId="2" xfId="1" applyNumberFormat="1" applyFont="1" applyFill="1" applyBorder="1"/>
    <xf numFmtId="0" fontId="20" fillId="0" borderId="0" xfId="0" applyFont="1" applyBorder="1" applyAlignment="1">
      <alignment horizontal="center"/>
    </xf>
    <xf numFmtId="43" fontId="19" fillId="0" borderId="0" xfId="0" applyNumberFormat="1" applyFont="1" applyBorder="1" applyAlignment="1">
      <alignment horizontal="left"/>
    </xf>
    <xf numFmtId="0" fontId="19" fillId="0" borderId="0" xfId="0" applyFont="1" applyBorder="1"/>
    <xf numFmtId="164" fontId="22" fillId="0" borderId="8" xfId="1" applyNumberFormat="1" applyFont="1" applyBorder="1"/>
    <xf numFmtId="164" fontId="22" fillId="0" borderId="3" xfId="1" applyNumberFormat="1" applyFont="1" applyBorder="1"/>
    <xf numFmtId="0" fontId="22" fillId="0" borderId="1" xfId="0" applyFont="1" applyBorder="1" applyAlignment="1">
      <alignment horizontal="left"/>
    </xf>
    <xf numFmtId="164" fontId="22" fillId="0" borderId="1" xfId="1" applyNumberFormat="1" applyFont="1" applyBorder="1" applyAlignment="1">
      <alignment horizontal="left"/>
    </xf>
    <xf numFmtId="0" fontId="23" fillId="0" borderId="1" xfId="0" applyFont="1" applyBorder="1"/>
    <xf numFmtId="164" fontId="22" fillId="0" borderId="1" xfId="1" applyNumberFormat="1" applyFont="1" applyBorder="1" applyAlignment="1">
      <alignment horizontal="center"/>
    </xf>
    <xf numFmtId="0" fontId="22" fillId="0" borderId="1" xfId="0" applyFont="1" applyBorder="1"/>
    <xf numFmtId="164" fontId="22" fillId="0" borderId="1" xfId="1" applyNumberFormat="1" applyFont="1" applyBorder="1"/>
    <xf numFmtId="164" fontId="22" fillId="0" borderId="1" xfId="1" applyNumberFormat="1" applyFont="1" applyBorder="1" applyAlignment="1">
      <alignment horizontal="right"/>
    </xf>
    <xf numFmtId="0" fontId="22" fillId="0" borderId="3" xfId="0" applyFont="1" applyBorder="1"/>
    <xf numFmtId="0" fontId="22" fillId="0" borderId="8" xfId="0" applyFont="1" applyBorder="1"/>
    <xf numFmtId="0" fontId="5" fillId="0" borderId="0" xfId="0" applyFont="1" applyBorder="1"/>
    <xf numFmtId="164" fontId="13" fillId="0" borderId="0" xfId="1" applyNumberFormat="1" applyFont="1" applyBorder="1" applyAlignment="1">
      <alignment horizontal="right"/>
    </xf>
    <xf numFmtId="164" fontId="16" fillId="0" borderId="0" xfId="1" applyNumberFormat="1" applyFont="1" applyBorder="1"/>
    <xf numFmtId="0" fontId="4" fillId="0" borderId="0" xfId="0" applyFont="1"/>
    <xf numFmtId="0" fontId="4" fillId="0" borderId="0" xfId="0" applyFont="1" applyFill="1"/>
    <xf numFmtId="0" fontId="4" fillId="4" borderId="1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1" xfId="0" applyFont="1" applyFill="1" applyBorder="1"/>
    <xf numFmtId="0" fontId="4" fillId="4" borderId="7" xfId="0" applyFont="1" applyFill="1" applyBorder="1"/>
    <xf numFmtId="164" fontId="13" fillId="4" borderId="28" xfId="1" applyNumberFormat="1" applyFont="1" applyFill="1" applyBorder="1" applyAlignment="1">
      <alignment horizontal="right"/>
    </xf>
    <xf numFmtId="0" fontId="9" fillId="5" borderId="34" xfId="0" applyFont="1" applyFill="1" applyBorder="1"/>
    <xf numFmtId="0" fontId="9" fillId="5" borderId="39" xfId="0" applyFont="1" applyFill="1" applyBorder="1"/>
    <xf numFmtId="43" fontId="9" fillId="5" borderId="34" xfId="0" applyNumberFormat="1" applyFont="1" applyFill="1" applyBorder="1" applyAlignment="1">
      <alignment horizontal="left"/>
    </xf>
    <xf numFmtId="0" fontId="9" fillId="5" borderId="37" xfId="0" applyFont="1" applyFill="1" applyBorder="1"/>
    <xf numFmtId="0" fontId="3" fillId="0" borderId="0" xfId="0" applyFont="1"/>
    <xf numFmtId="0" fontId="3" fillId="0" borderId="0" xfId="0" applyFont="1" applyFill="1"/>
    <xf numFmtId="0" fontId="12" fillId="5" borderId="72" xfId="0" applyFont="1" applyFill="1" applyBorder="1" applyAlignment="1">
      <alignment horizontal="center"/>
    </xf>
    <xf numFmtId="43" fontId="9" fillId="5" borderId="55" xfId="0" applyNumberFormat="1" applyFont="1" applyFill="1" applyBorder="1" applyAlignment="1">
      <alignment horizontal="left"/>
    </xf>
    <xf numFmtId="0" fontId="9" fillId="5" borderId="57" xfId="0" applyFont="1" applyFill="1" applyBorder="1"/>
    <xf numFmtId="0" fontId="9" fillId="5" borderId="61" xfId="0" applyFont="1" applyFill="1" applyBorder="1"/>
    <xf numFmtId="43" fontId="9" fillId="5" borderId="57" xfId="0" applyNumberFormat="1" applyFont="1" applyFill="1" applyBorder="1" applyAlignment="1">
      <alignment horizontal="left"/>
    </xf>
    <xf numFmtId="43" fontId="11" fillId="5" borderId="58" xfId="0" applyNumberFormat="1" applyFont="1" applyFill="1" applyBorder="1"/>
    <xf numFmtId="164" fontId="3" fillId="3" borderId="15" xfId="1" applyNumberFormat="1" applyFont="1" applyFill="1" applyBorder="1"/>
    <xf numFmtId="164" fontId="3" fillId="3" borderId="16" xfId="1" applyNumberFormat="1" applyFont="1" applyFill="1" applyBorder="1" applyAlignment="1">
      <alignment horizontal="center"/>
    </xf>
    <xf numFmtId="164" fontId="3" fillId="3" borderId="15" xfId="1" applyNumberFormat="1" applyFont="1" applyFill="1" applyBorder="1" applyAlignment="1">
      <alignment horizontal="center"/>
    </xf>
    <xf numFmtId="164" fontId="3" fillId="3" borderId="13" xfId="1" applyNumberFormat="1" applyFont="1" applyFill="1" applyBorder="1"/>
    <xf numFmtId="164" fontId="3" fillId="3" borderId="13" xfId="1" applyNumberFormat="1" applyFont="1" applyFill="1" applyBorder="1" applyAlignment="1">
      <alignment horizontal="center"/>
    </xf>
    <xf numFmtId="43" fontId="3" fillId="3" borderId="14" xfId="0" applyNumberFormat="1" applyFont="1" applyFill="1" applyBorder="1" applyAlignment="1">
      <alignment horizontal="center"/>
    </xf>
    <xf numFmtId="43" fontId="3" fillId="3" borderId="16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0" quotePrefix="1" applyFont="1" applyBorder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0" borderId="7" xfId="0" applyFont="1" applyBorder="1"/>
    <xf numFmtId="0" fontId="2" fillId="4" borderId="8" xfId="0" applyFont="1" applyFill="1" applyBorder="1"/>
    <xf numFmtId="0" fontId="2" fillId="4" borderId="0" xfId="0" applyFont="1" applyFill="1" applyBorder="1"/>
    <xf numFmtId="0" fontId="0" fillId="0" borderId="0" xfId="0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0" xfId="0" applyFont="1" applyBorder="1" applyAlignment="1">
      <alignment horizontal="center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99"/>
      <color rgb="FFFF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Jualan</c:v>
          </c:tx>
          <c:cat>
            <c:strRef>
              <c:f>(nEWS!$P$68,nEWS!$S$68,nEWS!$W$68,nEWS!$Z$68)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(nEWS!$P$93,nEWS!$S$93,nEWS!$W$93,nEWS!$Z$93)</c:f>
              <c:numCache>
                <c:formatCode>_(* #,##0.00_);_(* \(#,##0.00\);_(* "-"??_);_(@_)</c:formatCode>
                <c:ptCount val="4"/>
                <c:pt idx="0">
                  <c:v>28110000</c:v>
                </c:pt>
                <c:pt idx="1">
                  <c:v>25144000</c:v>
                </c:pt>
                <c:pt idx="2">
                  <c:v>8400000</c:v>
                </c:pt>
                <c:pt idx="3">
                  <c:v>4388000</c:v>
                </c:pt>
              </c:numCache>
            </c:numRef>
          </c:val>
          <c:smooth val="0"/>
        </c:ser>
        <c:ser>
          <c:idx val="1"/>
          <c:order val="1"/>
          <c:tx>
            <c:v>Profit</c:v>
          </c:tx>
          <c:cat>
            <c:strRef>
              <c:f>(nEWS!$P$68,nEWS!$S$68,nEWS!$W$68,nEWS!$Z$68)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(nEWS!$O$93,nEWS!$R$93,nEWS!$U$93,nEWS!$Y$93)</c:f>
              <c:numCache>
                <c:formatCode>_(* #,##0.00_);_(* \(#,##0.00\);_(* "-"??_);_(@_)</c:formatCode>
                <c:ptCount val="4"/>
                <c:pt idx="0">
                  <c:v>4236000</c:v>
                </c:pt>
                <c:pt idx="1">
                  <c:v>17374000</c:v>
                </c:pt>
                <c:pt idx="2">
                  <c:v>3229000</c:v>
                </c:pt>
                <c:pt idx="3">
                  <c:v>2824000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2528"/>
        <c:axId val="87304064"/>
      </c:lineChart>
      <c:catAx>
        <c:axId val="8730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304064"/>
        <c:crosses val="autoZero"/>
        <c:auto val="1"/>
        <c:lblAlgn val="ctr"/>
        <c:lblOffset val="100"/>
        <c:noMultiLvlLbl val="0"/>
      </c:catAx>
      <c:valAx>
        <c:axId val="87304064"/>
        <c:scaling>
          <c:orientation val="minMax"/>
        </c:scaling>
        <c:delete val="0"/>
        <c:axPos val="l"/>
        <c:majorGridlines/>
        <c:title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crossAx val="873025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Jualan</c:v>
          </c:tx>
          <c:cat>
            <c:strRef>
              <c:f>(testing!$R$74,testing!$U$74,testing!$Y$74,testing!$AB$74)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(testing!$R$99,testing!$U$99,testing!$Y$99,testing!$AB$99)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Profit</c:v>
          </c:tx>
          <c:cat>
            <c:strRef>
              <c:f>(testing!$R$74,testing!$U$74,testing!$Y$74,testing!$AB$74)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(testing!$Q$99,testing!$T$99,testing!$W$99,testing!$AA$99)</c:f>
              <c:numCache>
                <c:formatCode>_(* #,##0.00_);_(* \(#,##0.00\);_(* "-"??_);_(@_)</c:formatCode>
                <c:ptCount val="4"/>
                <c:pt idx="0">
                  <c:v>5214102.7</c:v>
                </c:pt>
                <c:pt idx="1">
                  <c:v>2403723</c:v>
                </c:pt>
                <c:pt idx="2">
                  <c:v>863375</c:v>
                </c:pt>
                <c:pt idx="3">
                  <c:v>640445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5904"/>
        <c:axId val="86397696"/>
      </c:lineChart>
      <c:catAx>
        <c:axId val="8639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397696"/>
        <c:crosses val="autoZero"/>
        <c:auto val="1"/>
        <c:lblAlgn val="ctr"/>
        <c:lblOffset val="100"/>
        <c:noMultiLvlLbl val="0"/>
      </c:catAx>
      <c:valAx>
        <c:axId val="86397696"/>
        <c:scaling>
          <c:orientation val="minMax"/>
        </c:scaling>
        <c:delete val="0"/>
        <c:axPos val="l"/>
        <c:majorGridlines/>
        <c:title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crossAx val="86395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18" name="Rectangle 17"/>
        <xdr:cNvSpPr/>
      </xdr:nvSpPr>
      <xdr:spPr>
        <a:xfrm>
          <a:off x="76200" y="304599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20" name="Rectangle 19"/>
        <xdr:cNvSpPr/>
      </xdr:nvSpPr>
      <xdr:spPr>
        <a:xfrm>
          <a:off x="76200" y="167254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5</xdr:row>
      <xdr:rowOff>38100</xdr:rowOff>
    </xdr:from>
    <xdr:to>
      <xdr:col>6</xdr:col>
      <xdr:colOff>219075</xdr:colOff>
      <xdr:row>5</xdr:row>
      <xdr:rowOff>171450</xdr:rowOff>
    </xdr:to>
    <xdr:sp macro="" textlink="">
      <xdr:nvSpPr>
        <xdr:cNvPr id="22" name="Rectangle 21"/>
        <xdr:cNvSpPr/>
      </xdr:nvSpPr>
      <xdr:spPr>
        <a:xfrm>
          <a:off x="76200" y="324652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10</xdr:row>
      <xdr:rowOff>39687</xdr:rowOff>
    </xdr:from>
    <xdr:to>
      <xdr:col>6</xdr:col>
      <xdr:colOff>219075</xdr:colOff>
      <xdr:row>10</xdr:row>
      <xdr:rowOff>173037</xdr:rowOff>
    </xdr:to>
    <xdr:sp macro="" textlink="">
      <xdr:nvSpPr>
        <xdr:cNvPr id="24" name="Rectangle 23"/>
        <xdr:cNvSpPr/>
      </xdr:nvSpPr>
      <xdr:spPr>
        <a:xfrm>
          <a:off x="76200" y="505284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25" name="Rectangle 24"/>
        <xdr:cNvSpPr/>
      </xdr:nvSpPr>
      <xdr:spPr>
        <a:xfrm>
          <a:off x="76200" y="465179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14</xdr:row>
      <xdr:rowOff>39687</xdr:rowOff>
    </xdr:from>
    <xdr:to>
      <xdr:col>6</xdr:col>
      <xdr:colOff>219075</xdr:colOff>
      <xdr:row>14</xdr:row>
      <xdr:rowOff>173037</xdr:rowOff>
    </xdr:to>
    <xdr:sp macro="" textlink="">
      <xdr:nvSpPr>
        <xdr:cNvPr id="26" name="Rectangle 25"/>
        <xdr:cNvSpPr/>
      </xdr:nvSpPr>
      <xdr:spPr>
        <a:xfrm>
          <a:off x="76200" y="525337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23</xdr:row>
      <xdr:rowOff>38100</xdr:rowOff>
    </xdr:from>
    <xdr:to>
      <xdr:col>0</xdr:col>
      <xdr:colOff>219075</xdr:colOff>
      <xdr:row>23</xdr:row>
      <xdr:rowOff>171450</xdr:rowOff>
    </xdr:to>
    <xdr:sp macro="" textlink="">
      <xdr:nvSpPr>
        <xdr:cNvPr id="27" name="Rectangle 26"/>
        <xdr:cNvSpPr/>
      </xdr:nvSpPr>
      <xdr:spPr>
        <a:xfrm>
          <a:off x="76200" y="63967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24</xdr:row>
      <xdr:rowOff>39687</xdr:rowOff>
    </xdr:from>
    <xdr:to>
      <xdr:col>0</xdr:col>
      <xdr:colOff>219075</xdr:colOff>
      <xdr:row>24</xdr:row>
      <xdr:rowOff>173037</xdr:rowOff>
    </xdr:to>
    <xdr:sp macro="" textlink="">
      <xdr:nvSpPr>
        <xdr:cNvPr id="28" name="Rectangle 27"/>
        <xdr:cNvSpPr/>
      </xdr:nvSpPr>
      <xdr:spPr>
        <a:xfrm>
          <a:off x="76200" y="84179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27</xdr:row>
      <xdr:rowOff>39687</xdr:rowOff>
    </xdr:from>
    <xdr:to>
      <xdr:col>0</xdr:col>
      <xdr:colOff>219075</xdr:colOff>
      <xdr:row>27</xdr:row>
      <xdr:rowOff>173037</xdr:rowOff>
    </xdr:to>
    <xdr:sp macro="" textlink="">
      <xdr:nvSpPr>
        <xdr:cNvPr id="29" name="Rectangle 28"/>
        <xdr:cNvSpPr/>
      </xdr:nvSpPr>
      <xdr:spPr>
        <a:xfrm>
          <a:off x="76200" y="7058108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26</xdr:row>
      <xdr:rowOff>33564</xdr:rowOff>
    </xdr:from>
    <xdr:to>
      <xdr:col>0</xdr:col>
      <xdr:colOff>219075</xdr:colOff>
      <xdr:row>26</xdr:row>
      <xdr:rowOff>166914</xdr:rowOff>
    </xdr:to>
    <xdr:sp macro="" textlink="">
      <xdr:nvSpPr>
        <xdr:cNvPr id="30" name="Rectangle 29"/>
        <xdr:cNvSpPr/>
      </xdr:nvSpPr>
      <xdr:spPr>
        <a:xfrm>
          <a:off x="76200" y="123672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28</xdr:row>
      <xdr:rowOff>33564</xdr:rowOff>
    </xdr:from>
    <xdr:to>
      <xdr:col>0</xdr:col>
      <xdr:colOff>219075</xdr:colOff>
      <xdr:row>28</xdr:row>
      <xdr:rowOff>166914</xdr:rowOff>
    </xdr:to>
    <xdr:sp macro="" textlink="">
      <xdr:nvSpPr>
        <xdr:cNvPr id="32" name="Rectangle 31"/>
        <xdr:cNvSpPr/>
      </xdr:nvSpPr>
      <xdr:spPr>
        <a:xfrm>
          <a:off x="76200" y="725251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29</xdr:row>
      <xdr:rowOff>33564</xdr:rowOff>
    </xdr:from>
    <xdr:to>
      <xdr:col>0</xdr:col>
      <xdr:colOff>219075</xdr:colOff>
      <xdr:row>29</xdr:row>
      <xdr:rowOff>166914</xdr:rowOff>
    </xdr:to>
    <xdr:sp macro="" textlink="">
      <xdr:nvSpPr>
        <xdr:cNvPr id="33" name="Rectangle 32"/>
        <xdr:cNvSpPr/>
      </xdr:nvSpPr>
      <xdr:spPr>
        <a:xfrm>
          <a:off x="76200" y="765356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23</xdr:row>
      <xdr:rowOff>38100</xdr:rowOff>
    </xdr:from>
    <xdr:to>
      <xdr:col>6</xdr:col>
      <xdr:colOff>219075</xdr:colOff>
      <xdr:row>23</xdr:row>
      <xdr:rowOff>171450</xdr:rowOff>
    </xdr:to>
    <xdr:sp macro="" textlink="">
      <xdr:nvSpPr>
        <xdr:cNvPr id="34" name="Rectangle 33"/>
        <xdr:cNvSpPr/>
      </xdr:nvSpPr>
      <xdr:spPr>
        <a:xfrm>
          <a:off x="76200" y="6655468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24</xdr:row>
      <xdr:rowOff>39687</xdr:rowOff>
    </xdr:from>
    <xdr:to>
      <xdr:col>6</xdr:col>
      <xdr:colOff>219075</xdr:colOff>
      <xdr:row>24</xdr:row>
      <xdr:rowOff>173037</xdr:rowOff>
    </xdr:to>
    <xdr:sp macro="" textlink="">
      <xdr:nvSpPr>
        <xdr:cNvPr id="35" name="Rectangle 34"/>
        <xdr:cNvSpPr/>
      </xdr:nvSpPr>
      <xdr:spPr>
        <a:xfrm>
          <a:off x="76200" y="685758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27</xdr:row>
      <xdr:rowOff>39687</xdr:rowOff>
    </xdr:from>
    <xdr:to>
      <xdr:col>6</xdr:col>
      <xdr:colOff>219075</xdr:colOff>
      <xdr:row>27</xdr:row>
      <xdr:rowOff>173037</xdr:rowOff>
    </xdr:to>
    <xdr:sp macro="" textlink="">
      <xdr:nvSpPr>
        <xdr:cNvPr id="36" name="Rectangle 35"/>
        <xdr:cNvSpPr/>
      </xdr:nvSpPr>
      <xdr:spPr>
        <a:xfrm>
          <a:off x="76200" y="7058108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26</xdr:row>
      <xdr:rowOff>33564</xdr:rowOff>
    </xdr:from>
    <xdr:to>
      <xdr:col>6</xdr:col>
      <xdr:colOff>219075</xdr:colOff>
      <xdr:row>26</xdr:row>
      <xdr:rowOff>166914</xdr:rowOff>
    </xdr:to>
    <xdr:sp macro="" textlink="">
      <xdr:nvSpPr>
        <xdr:cNvPr id="37" name="Rectangle 36"/>
        <xdr:cNvSpPr/>
      </xdr:nvSpPr>
      <xdr:spPr>
        <a:xfrm>
          <a:off x="76200" y="725251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28</xdr:row>
      <xdr:rowOff>33564</xdr:rowOff>
    </xdr:from>
    <xdr:to>
      <xdr:col>6</xdr:col>
      <xdr:colOff>219075</xdr:colOff>
      <xdr:row>28</xdr:row>
      <xdr:rowOff>166914</xdr:rowOff>
    </xdr:to>
    <xdr:sp macro="" textlink="">
      <xdr:nvSpPr>
        <xdr:cNvPr id="39" name="Rectangle 38"/>
        <xdr:cNvSpPr/>
      </xdr:nvSpPr>
      <xdr:spPr>
        <a:xfrm>
          <a:off x="76200" y="765356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29</xdr:row>
      <xdr:rowOff>33564</xdr:rowOff>
    </xdr:from>
    <xdr:to>
      <xdr:col>6</xdr:col>
      <xdr:colOff>219075</xdr:colOff>
      <xdr:row>29</xdr:row>
      <xdr:rowOff>166914</xdr:rowOff>
    </xdr:to>
    <xdr:sp macro="" textlink="">
      <xdr:nvSpPr>
        <xdr:cNvPr id="40" name="Rectangle 39"/>
        <xdr:cNvSpPr/>
      </xdr:nvSpPr>
      <xdr:spPr>
        <a:xfrm>
          <a:off x="76200" y="785409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33</xdr:row>
      <xdr:rowOff>33564</xdr:rowOff>
    </xdr:from>
    <xdr:to>
      <xdr:col>0</xdr:col>
      <xdr:colOff>219075</xdr:colOff>
      <xdr:row>33</xdr:row>
      <xdr:rowOff>166914</xdr:rowOff>
    </xdr:to>
    <xdr:sp macro="" textlink="">
      <xdr:nvSpPr>
        <xdr:cNvPr id="41" name="Rectangle 40"/>
        <xdr:cNvSpPr/>
      </xdr:nvSpPr>
      <xdr:spPr>
        <a:xfrm>
          <a:off x="76200" y="584882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33</xdr:row>
      <xdr:rowOff>33564</xdr:rowOff>
    </xdr:from>
    <xdr:to>
      <xdr:col>6</xdr:col>
      <xdr:colOff>219075</xdr:colOff>
      <xdr:row>33</xdr:row>
      <xdr:rowOff>166914</xdr:rowOff>
    </xdr:to>
    <xdr:sp macro="" textlink="">
      <xdr:nvSpPr>
        <xdr:cNvPr id="42" name="Rectangle 41"/>
        <xdr:cNvSpPr/>
      </xdr:nvSpPr>
      <xdr:spPr>
        <a:xfrm>
          <a:off x="76200" y="665093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34</xdr:row>
      <xdr:rowOff>33564</xdr:rowOff>
    </xdr:from>
    <xdr:to>
      <xdr:col>0</xdr:col>
      <xdr:colOff>219075</xdr:colOff>
      <xdr:row>34</xdr:row>
      <xdr:rowOff>166914</xdr:rowOff>
    </xdr:to>
    <xdr:sp macro="" textlink="">
      <xdr:nvSpPr>
        <xdr:cNvPr id="43" name="Rectangle 42"/>
        <xdr:cNvSpPr/>
      </xdr:nvSpPr>
      <xdr:spPr>
        <a:xfrm>
          <a:off x="76200" y="665093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76200</xdr:colOff>
      <xdr:row>34</xdr:row>
      <xdr:rowOff>33564</xdr:rowOff>
    </xdr:from>
    <xdr:to>
      <xdr:col>6</xdr:col>
      <xdr:colOff>219075</xdr:colOff>
      <xdr:row>34</xdr:row>
      <xdr:rowOff>166914</xdr:rowOff>
    </xdr:to>
    <xdr:sp macro="" textlink="">
      <xdr:nvSpPr>
        <xdr:cNvPr id="44" name="Rectangle 43"/>
        <xdr:cNvSpPr/>
      </xdr:nvSpPr>
      <xdr:spPr>
        <a:xfrm>
          <a:off x="5620753" y="665093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55" name="Straight Connector 54"/>
        <xdr:cNvCxnSpPr/>
      </xdr:nvCxnSpPr>
      <xdr:spPr>
        <a:xfrm>
          <a:off x="2655570" y="133350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175172</xdr:colOff>
      <xdr:row>6</xdr:row>
      <xdr:rowOff>120431</xdr:rowOff>
    </xdr:from>
    <xdr:to>
      <xdr:col>8</xdr:col>
      <xdr:colOff>920115</xdr:colOff>
      <xdr:row>6</xdr:row>
      <xdr:rowOff>123825</xdr:rowOff>
    </xdr:to>
    <xdr:cxnSp macro="">
      <xdr:nvCxnSpPr>
        <xdr:cNvPr id="67" name="Straight Connector 66"/>
        <xdr:cNvCxnSpPr/>
      </xdr:nvCxnSpPr>
      <xdr:spPr>
        <a:xfrm>
          <a:off x="8145517" y="1302845"/>
          <a:ext cx="744943" cy="33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158115</xdr:colOff>
      <xdr:row>11</xdr:row>
      <xdr:rowOff>110490</xdr:rowOff>
    </xdr:from>
    <xdr:to>
      <xdr:col>8</xdr:col>
      <xdr:colOff>954405</xdr:colOff>
      <xdr:row>11</xdr:row>
      <xdr:rowOff>110490</xdr:rowOff>
    </xdr:to>
    <xdr:cxnSp macro="">
      <xdr:nvCxnSpPr>
        <xdr:cNvPr id="69" name="Straight Connector 68"/>
        <xdr:cNvCxnSpPr/>
      </xdr:nvCxnSpPr>
      <xdr:spPr>
        <a:xfrm>
          <a:off x="8111490" y="31108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278130</xdr:colOff>
      <xdr:row>15</xdr:row>
      <xdr:rowOff>121920</xdr:rowOff>
    </xdr:from>
    <xdr:to>
      <xdr:col>8</xdr:col>
      <xdr:colOff>1074420</xdr:colOff>
      <xdr:row>15</xdr:row>
      <xdr:rowOff>121920</xdr:rowOff>
    </xdr:to>
    <xdr:cxnSp macro="">
      <xdr:nvCxnSpPr>
        <xdr:cNvPr id="45" name="Straight Connector 44"/>
        <xdr:cNvCxnSpPr/>
      </xdr:nvCxnSpPr>
      <xdr:spPr>
        <a:xfrm>
          <a:off x="2653906" y="3669161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234751</xdr:colOff>
      <xdr:row>11</xdr:row>
      <xdr:rowOff>110490</xdr:rowOff>
    </xdr:from>
    <xdr:to>
      <xdr:col>2</xdr:col>
      <xdr:colOff>1031041</xdr:colOff>
      <xdr:row>11</xdr:row>
      <xdr:rowOff>110490</xdr:rowOff>
    </xdr:to>
    <xdr:cxnSp macro="">
      <xdr:nvCxnSpPr>
        <xdr:cNvPr id="47" name="Straight Connector 46"/>
        <xdr:cNvCxnSpPr/>
      </xdr:nvCxnSpPr>
      <xdr:spPr>
        <a:xfrm>
          <a:off x="2610527" y="3066524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76638</xdr:colOff>
      <xdr:row>25</xdr:row>
      <xdr:rowOff>43793</xdr:rowOff>
    </xdr:from>
    <xdr:to>
      <xdr:col>0</xdr:col>
      <xdr:colOff>219513</xdr:colOff>
      <xdr:row>25</xdr:row>
      <xdr:rowOff>177143</xdr:rowOff>
    </xdr:to>
    <xdr:sp macro="" textlink="">
      <xdr:nvSpPr>
        <xdr:cNvPr id="66" name="Rectangle 65"/>
        <xdr:cNvSpPr/>
      </xdr:nvSpPr>
      <xdr:spPr>
        <a:xfrm>
          <a:off x="76638" y="457637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6</xdr:col>
      <xdr:colOff>65689</xdr:colOff>
      <xdr:row>25</xdr:row>
      <xdr:rowOff>32845</xdr:rowOff>
    </xdr:from>
    <xdr:to>
      <xdr:col>6</xdr:col>
      <xdr:colOff>208564</xdr:colOff>
      <xdr:row>25</xdr:row>
      <xdr:rowOff>166195</xdr:rowOff>
    </xdr:to>
    <xdr:sp macro="" textlink="">
      <xdr:nvSpPr>
        <xdr:cNvPr id="71" name="Rectangle 70"/>
        <xdr:cNvSpPr/>
      </xdr:nvSpPr>
      <xdr:spPr>
        <a:xfrm>
          <a:off x="5627413" y="456543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234751</xdr:colOff>
      <xdr:row>15</xdr:row>
      <xdr:rowOff>110490</xdr:rowOff>
    </xdr:from>
    <xdr:to>
      <xdr:col>2</xdr:col>
      <xdr:colOff>1031041</xdr:colOff>
      <xdr:row>15</xdr:row>
      <xdr:rowOff>110490</xdr:rowOff>
    </xdr:to>
    <xdr:cxnSp macro="">
      <xdr:nvCxnSpPr>
        <xdr:cNvPr id="73" name="Straight Connector 72"/>
        <xdr:cNvCxnSpPr/>
      </xdr:nvCxnSpPr>
      <xdr:spPr>
        <a:xfrm>
          <a:off x="2610527" y="208118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38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4" name="Rectangle 3"/>
        <xdr:cNvSpPr/>
      </xdr:nvSpPr>
      <xdr:spPr>
        <a:xfrm>
          <a:off x="76200" y="2840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48</xdr:row>
      <xdr:rowOff>38100</xdr:rowOff>
    </xdr:from>
    <xdr:to>
      <xdr:col>0</xdr:col>
      <xdr:colOff>219075</xdr:colOff>
      <xdr:row>48</xdr:row>
      <xdr:rowOff>171450</xdr:rowOff>
    </xdr:to>
    <xdr:sp macro="" textlink="">
      <xdr:nvSpPr>
        <xdr:cNvPr id="5" name="Rectangle 4"/>
        <xdr:cNvSpPr/>
      </xdr:nvSpPr>
      <xdr:spPr>
        <a:xfrm>
          <a:off x="5629275" y="1038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39687</xdr:rowOff>
    </xdr:from>
    <xdr:to>
      <xdr:col>0</xdr:col>
      <xdr:colOff>219075</xdr:colOff>
      <xdr:row>53</xdr:row>
      <xdr:rowOff>173037</xdr:rowOff>
    </xdr:to>
    <xdr:sp macro="" textlink="">
      <xdr:nvSpPr>
        <xdr:cNvPr id="7" name="Rectangle 6"/>
        <xdr:cNvSpPr/>
      </xdr:nvSpPr>
      <xdr:spPr>
        <a:xfrm>
          <a:off x="5629275" y="2840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8" name="Rectangle 7"/>
        <xdr:cNvSpPr/>
      </xdr:nvSpPr>
      <xdr:spPr>
        <a:xfrm>
          <a:off x="76200" y="3440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9" name="Rectangle 8"/>
        <xdr:cNvSpPr/>
      </xdr:nvSpPr>
      <xdr:spPr>
        <a:xfrm>
          <a:off x="5629275" y="3440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26" name="Straight Connector 25"/>
        <xdr:cNvCxnSpPr/>
      </xdr:nvCxnSpPr>
      <xdr:spPr>
        <a:xfrm>
          <a:off x="2653665" y="132207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11</xdr:row>
      <xdr:rowOff>121920</xdr:rowOff>
    </xdr:from>
    <xdr:to>
      <xdr:col>2</xdr:col>
      <xdr:colOff>883920</xdr:colOff>
      <xdr:row>11</xdr:row>
      <xdr:rowOff>121920</xdr:rowOff>
    </xdr:to>
    <xdr:cxnSp macro="">
      <xdr:nvCxnSpPr>
        <xdr:cNvPr id="29" name="Straight Connector 28"/>
        <xdr:cNvCxnSpPr/>
      </xdr:nvCxnSpPr>
      <xdr:spPr>
        <a:xfrm>
          <a:off x="2735580" y="3131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49</xdr:row>
      <xdr:rowOff>123825</xdr:rowOff>
    </xdr:from>
    <xdr:to>
      <xdr:col>2</xdr:col>
      <xdr:colOff>920115</xdr:colOff>
      <xdr:row>49</xdr:row>
      <xdr:rowOff>123825</xdr:rowOff>
    </xdr:to>
    <xdr:cxnSp macro="">
      <xdr:nvCxnSpPr>
        <xdr:cNvPr id="30" name="Straight Connector 29"/>
        <xdr:cNvCxnSpPr/>
      </xdr:nvCxnSpPr>
      <xdr:spPr>
        <a:xfrm>
          <a:off x="8077200" y="132397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54</xdr:row>
      <xdr:rowOff>110490</xdr:rowOff>
    </xdr:from>
    <xdr:to>
      <xdr:col>2</xdr:col>
      <xdr:colOff>954405</xdr:colOff>
      <xdr:row>54</xdr:row>
      <xdr:rowOff>110490</xdr:rowOff>
    </xdr:to>
    <xdr:cxnSp macro="">
      <xdr:nvCxnSpPr>
        <xdr:cNvPr id="32" name="Straight Connector 31"/>
        <xdr:cNvCxnSpPr/>
      </xdr:nvCxnSpPr>
      <xdr:spPr>
        <a:xfrm>
          <a:off x="8111490" y="31108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49</xdr:row>
      <xdr:rowOff>121920</xdr:rowOff>
    </xdr:from>
    <xdr:to>
      <xdr:col>2</xdr:col>
      <xdr:colOff>1078230</xdr:colOff>
      <xdr:row>49</xdr:row>
      <xdr:rowOff>121920</xdr:rowOff>
    </xdr:to>
    <xdr:cxnSp macro="">
      <xdr:nvCxnSpPr>
        <xdr:cNvPr id="17" name="Straight Connector 16"/>
        <xdr:cNvCxnSpPr/>
      </xdr:nvCxnSpPr>
      <xdr:spPr>
        <a:xfrm>
          <a:off x="2834640" y="13315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187112</xdr:colOff>
      <xdr:row>15</xdr:row>
      <xdr:rowOff>131445</xdr:rowOff>
    </xdr:from>
    <xdr:to>
      <xdr:col>2</xdr:col>
      <xdr:colOff>888152</xdr:colOff>
      <xdr:row>15</xdr:row>
      <xdr:rowOff>131445</xdr:rowOff>
    </xdr:to>
    <xdr:cxnSp macro="">
      <xdr:nvCxnSpPr>
        <xdr:cNvPr id="19" name="Straight Connector 18"/>
        <xdr:cNvCxnSpPr/>
      </xdr:nvCxnSpPr>
      <xdr:spPr>
        <a:xfrm>
          <a:off x="2621279" y="413194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21" name="Straight Connector 20"/>
        <xdr:cNvCxnSpPr/>
      </xdr:nvCxnSpPr>
      <xdr:spPr>
        <a:xfrm>
          <a:off x="2592282" y="11773323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419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420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48</xdr:row>
      <xdr:rowOff>38100</xdr:rowOff>
    </xdr:from>
    <xdr:to>
      <xdr:col>0</xdr:col>
      <xdr:colOff>219075</xdr:colOff>
      <xdr:row>48</xdr:row>
      <xdr:rowOff>171450</xdr:rowOff>
    </xdr:to>
    <xdr:sp macro="" textlink="">
      <xdr:nvSpPr>
        <xdr:cNvPr id="4" name="Rectangle 3"/>
        <xdr:cNvSpPr/>
      </xdr:nvSpPr>
      <xdr:spPr>
        <a:xfrm>
          <a:off x="76200" y="1043940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39687</xdr:rowOff>
    </xdr:from>
    <xdr:to>
      <xdr:col>0</xdr:col>
      <xdr:colOff>219075</xdr:colOff>
      <xdr:row>53</xdr:row>
      <xdr:rowOff>173037</xdr:rowOff>
    </xdr:to>
    <xdr:sp macro="" textlink="">
      <xdr:nvSpPr>
        <xdr:cNvPr id="5" name="Rectangle 4"/>
        <xdr:cNvSpPr/>
      </xdr:nvSpPr>
      <xdr:spPr>
        <a:xfrm>
          <a:off x="76200" y="11441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6" name="Rectangle 5"/>
        <xdr:cNvSpPr/>
      </xdr:nvSpPr>
      <xdr:spPr>
        <a:xfrm>
          <a:off x="76200" y="3221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7" name="Rectangle 6"/>
        <xdr:cNvSpPr/>
      </xdr:nvSpPr>
      <xdr:spPr>
        <a:xfrm>
          <a:off x="76200" y="120411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8" name="Straight Connector 7"/>
        <xdr:cNvCxnSpPr/>
      </xdr:nvCxnSpPr>
      <xdr:spPr>
        <a:xfrm>
          <a:off x="2710815" y="170307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11</xdr:row>
      <xdr:rowOff>121920</xdr:rowOff>
    </xdr:from>
    <xdr:to>
      <xdr:col>2</xdr:col>
      <xdr:colOff>883920</xdr:colOff>
      <xdr:row>11</xdr:row>
      <xdr:rowOff>121920</xdr:rowOff>
    </xdr:to>
    <xdr:cxnSp macro="">
      <xdr:nvCxnSpPr>
        <xdr:cNvPr id="9" name="Straight Connector 8"/>
        <xdr:cNvCxnSpPr/>
      </xdr:nvCxnSpPr>
      <xdr:spPr>
        <a:xfrm>
          <a:off x="2611755" y="27031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49</xdr:row>
      <xdr:rowOff>123825</xdr:rowOff>
    </xdr:from>
    <xdr:to>
      <xdr:col>2</xdr:col>
      <xdr:colOff>920115</xdr:colOff>
      <xdr:row>49</xdr:row>
      <xdr:rowOff>123825</xdr:rowOff>
    </xdr:to>
    <xdr:cxnSp macro="">
      <xdr:nvCxnSpPr>
        <xdr:cNvPr id="10" name="Straight Connector 9"/>
        <xdr:cNvCxnSpPr/>
      </xdr:nvCxnSpPr>
      <xdr:spPr>
        <a:xfrm>
          <a:off x="2552700" y="1072515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54</xdr:row>
      <xdr:rowOff>110490</xdr:rowOff>
    </xdr:from>
    <xdr:to>
      <xdr:col>2</xdr:col>
      <xdr:colOff>954405</xdr:colOff>
      <xdr:row>54</xdr:row>
      <xdr:rowOff>110490</xdr:rowOff>
    </xdr:to>
    <xdr:cxnSp macro="">
      <xdr:nvCxnSpPr>
        <xdr:cNvPr id="11" name="Straight Connector 10"/>
        <xdr:cNvCxnSpPr/>
      </xdr:nvCxnSpPr>
      <xdr:spPr>
        <a:xfrm>
          <a:off x="2586990" y="1171194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49</xdr:row>
      <xdr:rowOff>121920</xdr:rowOff>
    </xdr:from>
    <xdr:to>
      <xdr:col>2</xdr:col>
      <xdr:colOff>1078230</xdr:colOff>
      <xdr:row>49</xdr:row>
      <xdr:rowOff>121920</xdr:rowOff>
    </xdr:to>
    <xdr:cxnSp macro="">
      <xdr:nvCxnSpPr>
        <xdr:cNvPr id="12" name="Straight Connector 11"/>
        <xdr:cNvCxnSpPr/>
      </xdr:nvCxnSpPr>
      <xdr:spPr>
        <a:xfrm>
          <a:off x="2710815" y="1072324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187112</xdr:colOff>
      <xdr:row>15</xdr:row>
      <xdr:rowOff>131445</xdr:rowOff>
    </xdr:from>
    <xdr:to>
      <xdr:col>2</xdr:col>
      <xdr:colOff>888152</xdr:colOff>
      <xdr:row>15</xdr:row>
      <xdr:rowOff>131445</xdr:rowOff>
    </xdr:to>
    <xdr:cxnSp macro="">
      <xdr:nvCxnSpPr>
        <xdr:cNvPr id="13" name="Straight Connector 12"/>
        <xdr:cNvCxnSpPr/>
      </xdr:nvCxnSpPr>
      <xdr:spPr>
        <a:xfrm>
          <a:off x="2615987" y="3512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14" name="Straight Connector 13"/>
        <xdr:cNvCxnSpPr/>
      </xdr:nvCxnSpPr>
      <xdr:spPr>
        <a:xfrm>
          <a:off x="2586990" y="1231201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419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420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48</xdr:row>
      <xdr:rowOff>38100</xdr:rowOff>
    </xdr:from>
    <xdr:to>
      <xdr:col>0</xdr:col>
      <xdr:colOff>219075</xdr:colOff>
      <xdr:row>48</xdr:row>
      <xdr:rowOff>171450</xdr:rowOff>
    </xdr:to>
    <xdr:sp macro="" textlink="">
      <xdr:nvSpPr>
        <xdr:cNvPr id="4" name="Rectangle 3"/>
        <xdr:cNvSpPr/>
      </xdr:nvSpPr>
      <xdr:spPr>
        <a:xfrm>
          <a:off x="76200" y="1043940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39687</xdr:rowOff>
    </xdr:from>
    <xdr:to>
      <xdr:col>0</xdr:col>
      <xdr:colOff>219075</xdr:colOff>
      <xdr:row>53</xdr:row>
      <xdr:rowOff>173037</xdr:rowOff>
    </xdr:to>
    <xdr:sp macro="" textlink="">
      <xdr:nvSpPr>
        <xdr:cNvPr id="5" name="Rectangle 4"/>
        <xdr:cNvSpPr/>
      </xdr:nvSpPr>
      <xdr:spPr>
        <a:xfrm>
          <a:off x="76200" y="11441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6" name="Rectangle 5"/>
        <xdr:cNvSpPr/>
      </xdr:nvSpPr>
      <xdr:spPr>
        <a:xfrm>
          <a:off x="76200" y="3221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7" name="Rectangle 6"/>
        <xdr:cNvSpPr/>
      </xdr:nvSpPr>
      <xdr:spPr>
        <a:xfrm>
          <a:off x="76200" y="120411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8" name="Straight Connector 7"/>
        <xdr:cNvCxnSpPr/>
      </xdr:nvCxnSpPr>
      <xdr:spPr>
        <a:xfrm>
          <a:off x="2710815" y="170307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11</xdr:row>
      <xdr:rowOff>121920</xdr:rowOff>
    </xdr:from>
    <xdr:to>
      <xdr:col>2</xdr:col>
      <xdr:colOff>883920</xdr:colOff>
      <xdr:row>11</xdr:row>
      <xdr:rowOff>121920</xdr:rowOff>
    </xdr:to>
    <xdr:cxnSp macro="">
      <xdr:nvCxnSpPr>
        <xdr:cNvPr id="9" name="Straight Connector 8"/>
        <xdr:cNvCxnSpPr/>
      </xdr:nvCxnSpPr>
      <xdr:spPr>
        <a:xfrm>
          <a:off x="2611755" y="27031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49</xdr:row>
      <xdr:rowOff>123825</xdr:rowOff>
    </xdr:from>
    <xdr:to>
      <xdr:col>2</xdr:col>
      <xdr:colOff>920115</xdr:colOff>
      <xdr:row>49</xdr:row>
      <xdr:rowOff>123825</xdr:rowOff>
    </xdr:to>
    <xdr:cxnSp macro="">
      <xdr:nvCxnSpPr>
        <xdr:cNvPr id="10" name="Straight Connector 9"/>
        <xdr:cNvCxnSpPr/>
      </xdr:nvCxnSpPr>
      <xdr:spPr>
        <a:xfrm>
          <a:off x="2552700" y="1072515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54</xdr:row>
      <xdr:rowOff>110490</xdr:rowOff>
    </xdr:from>
    <xdr:to>
      <xdr:col>2</xdr:col>
      <xdr:colOff>954405</xdr:colOff>
      <xdr:row>54</xdr:row>
      <xdr:rowOff>110490</xdr:rowOff>
    </xdr:to>
    <xdr:cxnSp macro="">
      <xdr:nvCxnSpPr>
        <xdr:cNvPr id="11" name="Straight Connector 10"/>
        <xdr:cNvCxnSpPr/>
      </xdr:nvCxnSpPr>
      <xdr:spPr>
        <a:xfrm>
          <a:off x="2586990" y="1171194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49</xdr:row>
      <xdr:rowOff>121920</xdr:rowOff>
    </xdr:from>
    <xdr:to>
      <xdr:col>2</xdr:col>
      <xdr:colOff>1078230</xdr:colOff>
      <xdr:row>49</xdr:row>
      <xdr:rowOff>121920</xdr:rowOff>
    </xdr:to>
    <xdr:cxnSp macro="">
      <xdr:nvCxnSpPr>
        <xdr:cNvPr id="12" name="Straight Connector 11"/>
        <xdr:cNvCxnSpPr/>
      </xdr:nvCxnSpPr>
      <xdr:spPr>
        <a:xfrm>
          <a:off x="2710815" y="1072324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187112</xdr:colOff>
      <xdr:row>15</xdr:row>
      <xdr:rowOff>131445</xdr:rowOff>
    </xdr:from>
    <xdr:to>
      <xdr:col>2</xdr:col>
      <xdr:colOff>888152</xdr:colOff>
      <xdr:row>15</xdr:row>
      <xdr:rowOff>131445</xdr:rowOff>
    </xdr:to>
    <xdr:cxnSp macro="">
      <xdr:nvCxnSpPr>
        <xdr:cNvPr id="13" name="Straight Connector 12"/>
        <xdr:cNvCxnSpPr/>
      </xdr:nvCxnSpPr>
      <xdr:spPr>
        <a:xfrm>
          <a:off x="2615987" y="3512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15" name="Straight Connector 14"/>
        <xdr:cNvCxnSpPr/>
      </xdr:nvCxnSpPr>
      <xdr:spPr>
        <a:xfrm>
          <a:off x="2586990" y="1231201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419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420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48</xdr:row>
      <xdr:rowOff>38100</xdr:rowOff>
    </xdr:from>
    <xdr:to>
      <xdr:col>0</xdr:col>
      <xdr:colOff>219075</xdr:colOff>
      <xdr:row>48</xdr:row>
      <xdr:rowOff>171450</xdr:rowOff>
    </xdr:to>
    <xdr:sp macro="" textlink="">
      <xdr:nvSpPr>
        <xdr:cNvPr id="4" name="Rectangle 3"/>
        <xdr:cNvSpPr/>
      </xdr:nvSpPr>
      <xdr:spPr>
        <a:xfrm>
          <a:off x="76200" y="1043940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39687</xdr:rowOff>
    </xdr:from>
    <xdr:to>
      <xdr:col>0</xdr:col>
      <xdr:colOff>219075</xdr:colOff>
      <xdr:row>53</xdr:row>
      <xdr:rowOff>173037</xdr:rowOff>
    </xdr:to>
    <xdr:sp macro="" textlink="">
      <xdr:nvSpPr>
        <xdr:cNvPr id="5" name="Rectangle 4"/>
        <xdr:cNvSpPr/>
      </xdr:nvSpPr>
      <xdr:spPr>
        <a:xfrm>
          <a:off x="76200" y="11441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6" name="Rectangle 5"/>
        <xdr:cNvSpPr/>
      </xdr:nvSpPr>
      <xdr:spPr>
        <a:xfrm>
          <a:off x="76200" y="3221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7" name="Rectangle 6"/>
        <xdr:cNvSpPr/>
      </xdr:nvSpPr>
      <xdr:spPr>
        <a:xfrm>
          <a:off x="76200" y="120411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8" name="Straight Connector 7"/>
        <xdr:cNvCxnSpPr/>
      </xdr:nvCxnSpPr>
      <xdr:spPr>
        <a:xfrm>
          <a:off x="2710815" y="170307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11</xdr:row>
      <xdr:rowOff>121920</xdr:rowOff>
    </xdr:from>
    <xdr:to>
      <xdr:col>2</xdr:col>
      <xdr:colOff>883920</xdr:colOff>
      <xdr:row>11</xdr:row>
      <xdr:rowOff>121920</xdr:rowOff>
    </xdr:to>
    <xdr:cxnSp macro="">
      <xdr:nvCxnSpPr>
        <xdr:cNvPr id="9" name="Straight Connector 8"/>
        <xdr:cNvCxnSpPr/>
      </xdr:nvCxnSpPr>
      <xdr:spPr>
        <a:xfrm>
          <a:off x="2611755" y="27031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49</xdr:row>
      <xdr:rowOff>123825</xdr:rowOff>
    </xdr:from>
    <xdr:to>
      <xdr:col>2</xdr:col>
      <xdr:colOff>920115</xdr:colOff>
      <xdr:row>49</xdr:row>
      <xdr:rowOff>123825</xdr:rowOff>
    </xdr:to>
    <xdr:cxnSp macro="">
      <xdr:nvCxnSpPr>
        <xdr:cNvPr id="10" name="Straight Connector 9"/>
        <xdr:cNvCxnSpPr/>
      </xdr:nvCxnSpPr>
      <xdr:spPr>
        <a:xfrm>
          <a:off x="2552700" y="1072515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54</xdr:row>
      <xdr:rowOff>110490</xdr:rowOff>
    </xdr:from>
    <xdr:to>
      <xdr:col>2</xdr:col>
      <xdr:colOff>954405</xdr:colOff>
      <xdr:row>54</xdr:row>
      <xdr:rowOff>110490</xdr:rowOff>
    </xdr:to>
    <xdr:cxnSp macro="">
      <xdr:nvCxnSpPr>
        <xdr:cNvPr id="11" name="Straight Connector 10"/>
        <xdr:cNvCxnSpPr/>
      </xdr:nvCxnSpPr>
      <xdr:spPr>
        <a:xfrm>
          <a:off x="2586990" y="1171194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49</xdr:row>
      <xdr:rowOff>121920</xdr:rowOff>
    </xdr:from>
    <xdr:to>
      <xdr:col>2</xdr:col>
      <xdr:colOff>1078230</xdr:colOff>
      <xdr:row>49</xdr:row>
      <xdr:rowOff>121920</xdr:rowOff>
    </xdr:to>
    <xdr:cxnSp macro="">
      <xdr:nvCxnSpPr>
        <xdr:cNvPr id="12" name="Straight Connector 11"/>
        <xdr:cNvCxnSpPr/>
      </xdr:nvCxnSpPr>
      <xdr:spPr>
        <a:xfrm>
          <a:off x="2710815" y="1072324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187112</xdr:colOff>
      <xdr:row>15</xdr:row>
      <xdr:rowOff>131445</xdr:rowOff>
    </xdr:from>
    <xdr:to>
      <xdr:col>2</xdr:col>
      <xdr:colOff>888152</xdr:colOff>
      <xdr:row>15</xdr:row>
      <xdr:rowOff>131445</xdr:rowOff>
    </xdr:to>
    <xdr:cxnSp macro="">
      <xdr:nvCxnSpPr>
        <xdr:cNvPr id="13" name="Straight Connector 12"/>
        <xdr:cNvCxnSpPr/>
      </xdr:nvCxnSpPr>
      <xdr:spPr>
        <a:xfrm>
          <a:off x="2615987" y="3512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14" name="Straight Connector 13"/>
        <xdr:cNvCxnSpPr/>
      </xdr:nvCxnSpPr>
      <xdr:spPr>
        <a:xfrm>
          <a:off x="2586990" y="1231201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39687</xdr:rowOff>
    </xdr:from>
    <xdr:to>
      <xdr:col>0</xdr:col>
      <xdr:colOff>219075</xdr:colOff>
      <xdr:row>5</xdr:row>
      <xdr:rowOff>173037</xdr:rowOff>
    </xdr:to>
    <xdr:sp macro="" textlink="">
      <xdr:nvSpPr>
        <xdr:cNvPr id="3" name="Rectangle 2"/>
        <xdr:cNvSpPr/>
      </xdr:nvSpPr>
      <xdr:spPr>
        <a:xfrm>
          <a:off x="76200" y="20494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51</xdr:row>
      <xdr:rowOff>39687</xdr:rowOff>
    </xdr:from>
    <xdr:to>
      <xdr:col>0</xdr:col>
      <xdr:colOff>219075</xdr:colOff>
      <xdr:row>51</xdr:row>
      <xdr:rowOff>173037</xdr:rowOff>
    </xdr:to>
    <xdr:sp macro="" textlink="">
      <xdr:nvSpPr>
        <xdr:cNvPr id="6" name="Rectangle 5"/>
        <xdr:cNvSpPr/>
      </xdr:nvSpPr>
      <xdr:spPr>
        <a:xfrm>
          <a:off x="76200" y="116792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237492</xdr:colOff>
      <xdr:row>6</xdr:row>
      <xdr:rowOff>121920</xdr:rowOff>
    </xdr:from>
    <xdr:to>
      <xdr:col>2</xdr:col>
      <xdr:colOff>919482</xdr:colOff>
      <xdr:row>6</xdr:row>
      <xdr:rowOff>121920</xdr:rowOff>
    </xdr:to>
    <xdr:cxnSp macro="">
      <xdr:nvCxnSpPr>
        <xdr:cNvPr id="11" name="Straight Connector 10"/>
        <xdr:cNvCxnSpPr/>
      </xdr:nvCxnSpPr>
      <xdr:spPr>
        <a:xfrm>
          <a:off x="3147909" y="1339003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52</xdr:row>
      <xdr:rowOff>120015</xdr:rowOff>
    </xdr:from>
    <xdr:to>
      <xdr:col>2</xdr:col>
      <xdr:colOff>933450</xdr:colOff>
      <xdr:row>52</xdr:row>
      <xdr:rowOff>120015</xdr:rowOff>
    </xdr:to>
    <xdr:cxnSp macro="">
      <xdr:nvCxnSpPr>
        <xdr:cNvPr id="12" name="Straight Connector 11"/>
        <xdr:cNvCxnSpPr/>
      </xdr:nvCxnSpPr>
      <xdr:spPr>
        <a:xfrm>
          <a:off x="3044190" y="1195959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52</xdr:row>
      <xdr:rowOff>120015</xdr:rowOff>
    </xdr:from>
    <xdr:to>
      <xdr:col>2</xdr:col>
      <xdr:colOff>935355</xdr:colOff>
      <xdr:row>52</xdr:row>
      <xdr:rowOff>120015</xdr:rowOff>
    </xdr:to>
    <xdr:cxnSp macro="">
      <xdr:nvCxnSpPr>
        <xdr:cNvPr id="15" name="Straight Connector 14"/>
        <xdr:cNvCxnSpPr/>
      </xdr:nvCxnSpPr>
      <xdr:spPr>
        <a:xfrm>
          <a:off x="3044190" y="1195959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74083</xdr:colOff>
      <xdr:row>102</xdr:row>
      <xdr:rowOff>184150</xdr:rowOff>
    </xdr:from>
    <xdr:to>
      <xdr:col>23</xdr:col>
      <xdr:colOff>10583</xdr:colOff>
      <xdr:row>116</xdr:row>
      <xdr:rowOff>112184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182880</xdr:colOff>
      <xdr:row>6</xdr:row>
      <xdr:rowOff>121920</xdr:rowOff>
    </xdr:from>
    <xdr:to>
      <xdr:col>2</xdr:col>
      <xdr:colOff>883920</xdr:colOff>
      <xdr:row>6</xdr:row>
      <xdr:rowOff>121920</xdr:rowOff>
    </xdr:to>
    <xdr:cxnSp macro="">
      <xdr:nvCxnSpPr>
        <xdr:cNvPr id="8" name="Straight Connector 7"/>
        <xdr:cNvCxnSpPr/>
      </xdr:nvCxnSpPr>
      <xdr:spPr>
        <a:xfrm>
          <a:off x="3088005" y="3131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52</xdr:row>
      <xdr:rowOff>110490</xdr:rowOff>
    </xdr:from>
    <xdr:to>
      <xdr:col>2</xdr:col>
      <xdr:colOff>954405</xdr:colOff>
      <xdr:row>52</xdr:row>
      <xdr:rowOff>110490</xdr:rowOff>
    </xdr:to>
    <xdr:cxnSp macro="">
      <xdr:nvCxnSpPr>
        <xdr:cNvPr id="9" name="Straight Connector 8"/>
        <xdr:cNvCxnSpPr/>
      </xdr:nvCxnSpPr>
      <xdr:spPr>
        <a:xfrm>
          <a:off x="3063240" y="127501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4775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0494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4" name="Rectangle 3"/>
        <xdr:cNvSpPr/>
      </xdr:nvSpPr>
      <xdr:spPr>
        <a:xfrm>
          <a:off x="76200" y="28495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47</xdr:row>
      <xdr:rowOff>38100</xdr:rowOff>
    </xdr:from>
    <xdr:to>
      <xdr:col>0</xdr:col>
      <xdr:colOff>219075</xdr:colOff>
      <xdr:row>47</xdr:row>
      <xdr:rowOff>171450</xdr:rowOff>
    </xdr:to>
    <xdr:sp macro="" textlink="">
      <xdr:nvSpPr>
        <xdr:cNvPr id="5" name="Rectangle 4"/>
        <xdr:cNvSpPr/>
      </xdr:nvSpPr>
      <xdr:spPr>
        <a:xfrm>
          <a:off x="76200" y="913447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52</xdr:row>
      <xdr:rowOff>39687</xdr:rowOff>
    </xdr:from>
    <xdr:to>
      <xdr:col>0</xdr:col>
      <xdr:colOff>219075</xdr:colOff>
      <xdr:row>52</xdr:row>
      <xdr:rowOff>173037</xdr:rowOff>
    </xdr:to>
    <xdr:sp macro="" textlink="">
      <xdr:nvSpPr>
        <xdr:cNvPr id="6" name="Rectangle 5"/>
        <xdr:cNvSpPr/>
      </xdr:nvSpPr>
      <xdr:spPr>
        <a:xfrm>
          <a:off x="76200" y="101361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7" name="Rectangle 6"/>
        <xdr:cNvSpPr/>
      </xdr:nvSpPr>
      <xdr:spPr>
        <a:xfrm>
          <a:off x="76200" y="109362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17</xdr:row>
      <xdr:rowOff>39687</xdr:rowOff>
    </xdr:from>
    <xdr:to>
      <xdr:col>0</xdr:col>
      <xdr:colOff>219075</xdr:colOff>
      <xdr:row>17</xdr:row>
      <xdr:rowOff>173037</xdr:rowOff>
    </xdr:to>
    <xdr:sp macro="" textlink="">
      <xdr:nvSpPr>
        <xdr:cNvPr id="8" name="Rectangle 7"/>
        <xdr:cNvSpPr/>
      </xdr:nvSpPr>
      <xdr:spPr>
        <a:xfrm>
          <a:off x="76200" y="34496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59</xdr:row>
      <xdr:rowOff>39687</xdr:rowOff>
    </xdr:from>
    <xdr:to>
      <xdr:col>0</xdr:col>
      <xdr:colOff>219075</xdr:colOff>
      <xdr:row>59</xdr:row>
      <xdr:rowOff>173037</xdr:rowOff>
    </xdr:to>
    <xdr:sp macro="" textlink="">
      <xdr:nvSpPr>
        <xdr:cNvPr id="9" name="Rectangle 8"/>
        <xdr:cNvSpPr/>
      </xdr:nvSpPr>
      <xdr:spPr>
        <a:xfrm>
          <a:off x="76200" y="115363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119062</xdr:colOff>
      <xdr:row>6</xdr:row>
      <xdr:rowOff>121920</xdr:rowOff>
    </xdr:from>
    <xdr:to>
      <xdr:col>3</xdr:col>
      <xdr:colOff>6668</xdr:colOff>
      <xdr:row>6</xdr:row>
      <xdr:rowOff>130969</xdr:rowOff>
    </xdr:to>
    <xdr:cxnSp macro="">
      <xdr:nvCxnSpPr>
        <xdr:cNvPr id="10" name="Straight Connector 9"/>
        <xdr:cNvCxnSpPr/>
      </xdr:nvCxnSpPr>
      <xdr:spPr>
        <a:xfrm flipV="1">
          <a:off x="2667000" y="1348264"/>
          <a:ext cx="863918" cy="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83343</xdr:colOff>
      <xdr:row>11</xdr:row>
      <xdr:rowOff>119063</xdr:rowOff>
    </xdr:from>
    <xdr:to>
      <xdr:col>3</xdr:col>
      <xdr:colOff>6668</xdr:colOff>
      <xdr:row>11</xdr:row>
      <xdr:rowOff>121920</xdr:rowOff>
    </xdr:to>
    <xdr:cxnSp macro="">
      <xdr:nvCxnSpPr>
        <xdr:cNvPr id="11" name="Straight Connector 10"/>
        <xdr:cNvCxnSpPr/>
      </xdr:nvCxnSpPr>
      <xdr:spPr>
        <a:xfrm>
          <a:off x="2631281" y="2357438"/>
          <a:ext cx="899637" cy="28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53</xdr:row>
      <xdr:rowOff>120015</xdr:rowOff>
    </xdr:from>
    <xdr:to>
      <xdr:col>2</xdr:col>
      <xdr:colOff>933450</xdr:colOff>
      <xdr:row>53</xdr:row>
      <xdr:rowOff>120015</xdr:rowOff>
    </xdr:to>
    <xdr:cxnSp macro="">
      <xdr:nvCxnSpPr>
        <xdr:cNvPr id="12" name="Straight Connector 11"/>
        <xdr:cNvCxnSpPr/>
      </xdr:nvCxnSpPr>
      <xdr:spPr>
        <a:xfrm>
          <a:off x="2691765" y="1041654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15</xdr:row>
      <xdr:rowOff>107156</xdr:rowOff>
    </xdr:from>
    <xdr:to>
      <xdr:col>3</xdr:col>
      <xdr:colOff>2858</xdr:colOff>
      <xdr:row>15</xdr:row>
      <xdr:rowOff>121920</xdr:rowOff>
    </xdr:to>
    <xdr:cxnSp macro="">
      <xdr:nvCxnSpPr>
        <xdr:cNvPr id="13" name="Straight Connector 12"/>
        <xdr:cNvCxnSpPr/>
      </xdr:nvCxnSpPr>
      <xdr:spPr>
        <a:xfrm>
          <a:off x="2643188" y="3155156"/>
          <a:ext cx="883920" cy="147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48</xdr:row>
      <xdr:rowOff>123825</xdr:rowOff>
    </xdr:from>
    <xdr:to>
      <xdr:col>2</xdr:col>
      <xdr:colOff>920115</xdr:colOff>
      <xdr:row>48</xdr:row>
      <xdr:rowOff>123825</xdr:rowOff>
    </xdr:to>
    <xdr:cxnSp macro="">
      <xdr:nvCxnSpPr>
        <xdr:cNvPr id="14" name="Straight Connector 13"/>
        <xdr:cNvCxnSpPr/>
      </xdr:nvCxnSpPr>
      <xdr:spPr>
        <a:xfrm>
          <a:off x="2676525" y="942022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53</xdr:row>
      <xdr:rowOff>120015</xdr:rowOff>
    </xdr:from>
    <xdr:to>
      <xdr:col>2</xdr:col>
      <xdr:colOff>935355</xdr:colOff>
      <xdr:row>53</xdr:row>
      <xdr:rowOff>120015</xdr:rowOff>
    </xdr:to>
    <xdr:cxnSp macro="">
      <xdr:nvCxnSpPr>
        <xdr:cNvPr id="15" name="Straight Connector 14"/>
        <xdr:cNvCxnSpPr/>
      </xdr:nvCxnSpPr>
      <xdr:spPr>
        <a:xfrm>
          <a:off x="2691765" y="1041654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16" name="Straight Connector 15"/>
        <xdr:cNvCxnSpPr/>
      </xdr:nvCxnSpPr>
      <xdr:spPr>
        <a:xfrm>
          <a:off x="2710815" y="1120711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48</xdr:row>
      <xdr:rowOff>121920</xdr:rowOff>
    </xdr:from>
    <xdr:to>
      <xdr:col>2</xdr:col>
      <xdr:colOff>1078230</xdr:colOff>
      <xdr:row>48</xdr:row>
      <xdr:rowOff>121920</xdr:rowOff>
    </xdr:to>
    <xdr:cxnSp macro="">
      <xdr:nvCxnSpPr>
        <xdr:cNvPr id="17" name="Straight Connector 16"/>
        <xdr:cNvCxnSpPr/>
      </xdr:nvCxnSpPr>
      <xdr:spPr>
        <a:xfrm>
          <a:off x="2834640" y="94183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53</xdr:row>
      <xdr:rowOff>121920</xdr:rowOff>
    </xdr:from>
    <xdr:to>
      <xdr:col>2</xdr:col>
      <xdr:colOff>1097280</xdr:colOff>
      <xdr:row>53</xdr:row>
      <xdr:rowOff>121920</xdr:rowOff>
    </xdr:to>
    <xdr:cxnSp macro="">
      <xdr:nvCxnSpPr>
        <xdr:cNvPr id="18" name="Straight Connector 17"/>
        <xdr:cNvCxnSpPr/>
      </xdr:nvCxnSpPr>
      <xdr:spPr>
        <a:xfrm>
          <a:off x="2853690" y="10418445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</xdr:colOff>
      <xdr:row>48</xdr:row>
      <xdr:rowOff>121920</xdr:rowOff>
    </xdr:from>
    <xdr:to>
      <xdr:col>3</xdr:col>
      <xdr:colOff>6668</xdr:colOff>
      <xdr:row>48</xdr:row>
      <xdr:rowOff>130969</xdr:rowOff>
    </xdr:to>
    <xdr:cxnSp macro="">
      <xdr:nvCxnSpPr>
        <xdr:cNvPr id="22" name="Straight Connector 21"/>
        <xdr:cNvCxnSpPr/>
      </xdr:nvCxnSpPr>
      <xdr:spPr>
        <a:xfrm flipV="1">
          <a:off x="2667000" y="1348264"/>
          <a:ext cx="863918" cy="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83343</xdr:colOff>
      <xdr:row>53</xdr:row>
      <xdr:rowOff>119063</xdr:rowOff>
    </xdr:from>
    <xdr:to>
      <xdr:col>3</xdr:col>
      <xdr:colOff>6668</xdr:colOff>
      <xdr:row>53</xdr:row>
      <xdr:rowOff>121920</xdr:rowOff>
    </xdr:to>
    <xdr:cxnSp macro="">
      <xdr:nvCxnSpPr>
        <xdr:cNvPr id="23" name="Straight Connector 22"/>
        <xdr:cNvCxnSpPr/>
      </xdr:nvCxnSpPr>
      <xdr:spPr>
        <a:xfrm>
          <a:off x="2631281" y="2357438"/>
          <a:ext cx="899637" cy="28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57</xdr:row>
      <xdr:rowOff>107156</xdr:rowOff>
    </xdr:from>
    <xdr:to>
      <xdr:col>3</xdr:col>
      <xdr:colOff>2858</xdr:colOff>
      <xdr:row>57</xdr:row>
      <xdr:rowOff>121920</xdr:rowOff>
    </xdr:to>
    <xdr:cxnSp macro="">
      <xdr:nvCxnSpPr>
        <xdr:cNvPr id="24" name="Straight Connector 23"/>
        <xdr:cNvCxnSpPr/>
      </xdr:nvCxnSpPr>
      <xdr:spPr>
        <a:xfrm>
          <a:off x="2643188" y="3155156"/>
          <a:ext cx="883920" cy="147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4775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0494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4" name="Rectangle 3"/>
        <xdr:cNvSpPr/>
      </xdr:nvSpPr>
      <xdr:spPr>
        <a:xfrm>
          <a:off x="76200" y="28495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38100</xdr:rowOff>
    </xdr:from>
    <xdr:to>
      <xdr:col>0</xdr:col>
      <xdr:colOff>219075</xdr:colOff>
      <xdr:row>53</xdr:row>
      <xdr:rowOff>171450</xdr:rowOff>
    </xdr:to>
    <xdr:sp macro="" textlink="">
      <xdr:nvSpPr>
        <xdr:cNvPr id="5" name="Rectangle 4"/>
        <xdr:cNvSpPr/>
      </xdr:nvSpPr>
      <xdr:spPr>
        <a:xfrm>
          <a:off x="76200" y="106775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58</xdr:row>
      <xdr:rowOff>39687</xdr:rowOff>
    </xdr:from>
    <xdr:to>
      <xdr:col>0</xdr:col>
      <xdr:colOff>219075</xdr:colOff>
      <xdr:row>58</xdr:row>
      <xdr:rowOff>173037</xdr:rowOff>
    </xdr:to>
    <xdr:sp macro="" textlink="">
      <xdr:nvSpPr>
        <xdr:cNvPr id="6" name="Rectangle 5"/>
        <xdr:cNvSpPr/>
      </xdr:nvSpPr>
      <xdr:spPr>
        <a:xfrm>
          <a:off x="76200" y="116792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62</xdr:row>
      <xdr:rowOff>39687</xdr:rowOff>
    </xdr:from>
    <xdr:to>
      <xdr:col>0</xdr:col>
      <xdr:colOff>219075</xdr:colOff>
      <xdr:row>62</xdr:row>
      <xdr:rowOff>173037</xdr:rowOff>
    </xdr:to>
    <xdr:sp macro="" textlink="">
      <xdr:nvSpPr>
        <xdr:cNvPr id="7" name="Rectangle 6"/>
        <xdr:cNvSpPr/>
      </xdr:nvSpPr>
      <xdr:spPr>
        <a:xfrm>
          <a:off x="76200" y="124793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17</xdr:row>
      <xdr:rowOff>39687</xdr:rowOff>
    </xdr:from>
    <xdr:to>
      <xdr:col>0</xdr:col>
      <xdr:colOff>219075</xdr:colOff>
      <xdr:row>17</xdr:row>
      <xdr:rowOff>173037</xdr:rowOff>
    </xdr:to>
    <xdr:sp macro="" textlink="">
      <xdr:nvSpPr>
        <xdr:cNvPr id="8" name="Rectangle 7"/>
        <xdr:cNvSpPr/>
      </xdr:nvSpPr>
      <xdr:spPr>
        <a:xfrm>
          <a:off x="76200" y="34496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65</xdr:row>
      <xdr:rowOff>39687</xdr:rowOff>
    </xdr:from>
    <xdr:to>
      <xdr:col>0</xdr:col>
      <xdr:colOff>219075</xdr:colOff>
      <xdr:row>65</xdr:row>
      <xdr:rowOff>173037</xdr:rowOff>
    </xdr:to>
    <xdr:sp macro="" textlink="">
      <xdr:nvSpPr>
        <xdr:cNvPr id="9" name="Rectangle 8"/>
        <xdr:cNvSpPr/>
      </xdr:nvSpPr>
      <xdr:spPr>
        <a:xfrm>
          <a:off x="76200" y="130794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10" name="Straight Connector 9"/>
        <xdr:cNvCxnSpPr/>
      </xdr:nvCxnSpPr>
      <xdr:spPr>
        <a:xfrm>
          <a:off x="3187065" y="13315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11</xdr:row>
      <xdr:rowOff>121920</xdr:rowOff>
    </xdr:from>
    <xdr:to>
      <xdr:col>2</xdr:col>
      <xdr:colOff>1097280</xdr:colOff>
      <xdr:row>11</xdr:row>
      <xdr:rowOff>121920</xdr:rowOff>
    </xdr:to>
    <xdr:cxnSp macro="">
      <xdr:nvCxnSpPr>
        <xdr:cNvPr id="11" name="Straight Connector 10"/>
        <xdr:cNvCxnSpPr/>
      </xdr:nvCxnSpPr>
      <xdr:spPr>
        <a:xfrm>
          <a:off x="3206115" y="2331720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933450</xdr:colOff>
      <xdr:row>59</xdr:row>
      <xdr:rowOff>120015</xdr:rowOff>
    </xdr:to>
    <xdr:cxnSp macro="">
      <xdr:nvCxnSpPr>
        <xdr:cNvPr id="12" name="Straight Connector 11"/>
        <xdr:cNvCxnSpPr/>
      </xdr:nvCxnSpPr>
      <xdr:spPr>
        <a:xfrm>
          <a:off x="3044190" y="1195959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15</xdr:row>
      <xdr:rowOff>121920</xdr:rowOff>
    </xdr:from>
    <xdr:to>
      <xdr:col>2</xdr:col>
      <xdr:colOff>883920</xdr:colOff>
      <xdr:row>15</xdr:row>
      <xdr:rowOff>121920</xdr:rowOff>
    </xdr:to>
    <xdr:cxnSp macro="">
      <xdr:nvCxnSpPr>
        <xdr:cNvPr id="13" name="Straight Connector 12"/>
        <xdr:cNvCxnSpPr/>
      </xdr:nvCxnSpPr>
      <xdr:spPr>
        <a:xfrm>
          <a:off x="3088005" y="3131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54</xdr:row>
      <xdr:rowOff>123825</xdr:rowOff>
    </xdr:from>
    <xdr:to>
      <xdr:col>2</xdr:col>
      <xdr:colOff>920115</xdr:colOff>
      <xdr:row>54</xdr:row>
      <xdr:rowOff>123825</xdr:rowOff>
    </xdr:to>
    <xdr:cxnSp macro="">
      <xdr:nvCxnSpPr>
        <xdr:cNvPr id="14" name="Straight Connector 13"/>
        <xdr:cNvCxnSpPr/>
      </xdr:nvCxnSpPr>
      <xdr:spPr>
        <a:xfrm>
          <a:off x="3028950" y="1096327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935355</xdr:colOff>
      <xdr:row>59</xdr:row>
      <xdr:rowOff>120015</xdr:rowOff>
    </xdr:to>
    <xdr:cxnSp macro="">
      <xdr:nvCxnSpPr>
        <xdr:cNvPr id="15" name="Straight Connector 14"/>
        <xdr:cNvCxnSpPr/>
      </xdr:nvCxnSpPr>
      <xdr:spPr>
        <a:xfrm>
          <a:off x="3044190" y="1195959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63</xdr:row>
      <xdr:rowOff>110490</xdr:rowOff>
    </xdr:from>
    <xdr:to>
      <xdr:col>2</xdr:col>
      <xdr:colOff>954405</xdr:colOff>
      <xdr:row>63</xdr:row>
      <xdr:rowOff>110490</xdr:rowOff>
    </xdr:to>
    <xdr:cxnSp macro="">
      <xdr:nvCxnSpPr>
        <xdr:cNvPr id="16" name="Straight Connector 15"/>
        <xdr:cNvCxnSpPr/>
      </xdr:nvCxnSpPr>
      <xdr:spPr>
        <a:xfrm>
          <a:off x="3063240" y="127501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54</xdr:row>
      <xdr:rowOff>121920</xdr:rowOff>
    </xdr:from>
    <xdr:to>
      <xdr:col>2</xdr:col>
      <xdr:colOff>1078230</xdr:colOff>
      <xdr:row>54</xdr:row>
      <xdr:rowOff>121920</xdr:rowOff>
    </xdr:to>
    <xdr:cxnSp macro="">
      <xdr:nvCxnSpPr>
        <xdr:cNvPr id="17" name="Straight Connector 16"/>
        <xdr:cNvCxnSpPr/>
      </xdr:nvCxnSpPr>
      <xdr:spPr>
        <a:xfrm>
          <a:off x="3187065" y="1096137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18</xdr:row>
      <xdr:rowOff>131445</xdr:rowOff>
    </xdr:from>
    <xdr:to>
      <xdr:col>2</xdr:col>
      <xdr:colOff>845820</xdr:colOff>
      <xdr:row>18</xdr:row>
      <xdr:rowOff>131445</xdr:rowOff>
    </xdr:to>
    <xdr:cxnSp macro="">
      <xdr:nvCxnSpPr>
        <xdr:cNvPr id="18" name="Straight Connector 17"/>
        <xdr:cNvCxnSpPr/>
      </xdr:nvCxnSpPr>
      <xdr:spPr>
        <a:xfrm>
          <a:off x="3049905" y="37414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74083</xdr:colOff>
      <xdr:row>108</xdr:row>
      <xdr:rowOff>184150</xdr:rowOff>
    </xdr:from>
    <xdr:to>
      <xdr:col>25</xdr:col>
      <xdr:colOff>10583</xdr:colOff>
      <xdr:row>122</xdr:row>
      <xdr:rowOff>112184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keting%20&amp;%20Sales%20Centre\price%20i-account\package%20v3(2905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Dist."/>
      <sheetName val="diff price-1500"/>
      <sheetName val="2200"/>
      <sheetName val="Formula"/>
      <sheetName val="nEWS"/>
      <sheetName val="summary"/>
      <sheetName val="1st year"/>
      <sheetName val="Sheet3"/>
      <sheetName val="Sheet2"/>
      <sheetName val="Sheet4"/>
      <sheetName val="ROI Target"/>
      <sheetName val="Sheet1"/>
      <sheetName val="testing"/>
    </sheetNames>
    <sheetDataSet>
      <sheetData sheetId="0">
        <row r="7">
          <cell r="C7" t="str">
            <v>Valued at 3,500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0" zoomScaleNormal="80" workbookViewId="0">
      <selection activeCell="H4" sqref="H4"/>
    </sheetView>
  </sheetViews>
  <sheetFormatPr defaultRowHeight="15.75" x14ac:dyDescent="0.25"/>
  <cols>
    <col min="1" max="1" width="4.7109375" style="1" customWidth="1"/>
    <col min="2" max="2" width="31.7109375" style="1" customWidth="1"/>
    <col min="3" max="3" width="16.7109375" style="1" customWidth="1"/>
    <col min="4" max="4" width="9.7109375" style="1" bestFit="1" customWidth="1"/>
    <col min="5" max="5" width="16.85546875" style="1" bestFit="1" customWidth="1"/>
    <col min="6" max="6" width="4.42578125" style="1" customWidth="1"/>
    <col min="7" max="7" width="4.85546875" style="1" customWidth="1"/>
    <col min="8" max="8" width="33" style="1" customWidth="1"/>
    <col min="9" max="9" width="15.42578125" style="1" bestFit="1" customWidth="1"/>
    <col min="10" max="10" width="9.7109375" style="1" bestFit="1" customWidth="1"/>
    <col min="11" max="11" width="16.85546875" style="1" bestFit="1" customWidth="1"/>
    <col min="12" max="12" width="3.28515625" style="1" customWidth="1"/>
    <col min="13" max="13" width="3.42578125" style="1" customWidth="1"/>
    <col min="14" max="14" width="51.7109375" style="1" customWidth="1"/>
    <col min="15" max="15" width="55" style="1" customWidth="1"/>
    <col min="16" max="16" width="16.85546875" style="1" bestFit="1" customWidth="1"/>
    <col min="17" max="16384" width="9.140625" style="1"/>
  </cols>
  <sheetData>
    <row r="1" spans="1:16" x14ac:dyDescent="0.25">
      <c r="B1" s="39" t="s">
        <v>22</v>
      </c>
    </row>
    <row r="3" spans="1:16" x14ac:dyDescent="0.25">
      <c r="A3" s="11"/>
      <c r="B3" s="37" t="s">
        <v>213</v>
      </c>
      <c r="C3" s="12"/>
      <c r="D3" s="11"/>
      <c r="E3" s="11"/>
      <c r="G3" s="11"/>
      <c r="H3" s="37" t="s">
        <v>214</v>
      </c>
      <c r="I3" s="12"/>
      <c r="J3" s="11"/>
      <c r="K3" s="11"/>
      <c r="L3" s="11"/>
      <c r="M3" s="11"/>
      <c r="N3" s="11"/>
      <c r="O3" s="12"/>
      <c r="P3" s="11"/>
    </row>
    <row r="4" spans="1:16" x14ac:dyDescent="0.25">
      <c r="B4" s="38" t="s">
        <v>212</v>
      </c>
      <c r="C4" s="2"/>
      <c r="H4" s="1" t="s">
        <v>215</v>
      </c>
      <c r="M4" s="12"/>
      <c r="N4" s="543" t="s">
        <v>49</v>
      </c>
      <c r="O4" s="543" t="s">
        <v>49</v>
      </c>
      <c r="P4" s="19"/>
    </row>
    <row r="5" spans="1:16" x14ac:dyDescent="0.25">
      <c r="A5" s="26"/>
      <c r="B5" s="9" t="s">
        <v>6</v>
      </c>
      <c r="C5" s="25" t="s">
        <v>1</v>
      </c>
      <c r="D5" s="26" t="s">
        <v>3</v>
      </c>
      <c r="E5" s="25" t="s">
        <v>5</v>
      </c>
      <c r="F5" s="3"/>
      <c r="G5" s="544"/>
      <c r="H5" s="545" t="s">
        <v>6</v>
      </c>
      <c r="I5" s="544" t="s">
        <v>2</v>
      </c>
      <c r="J5" s="544" t="s">
        <v>3</v>
      </c>
      <c r="K5" s="544" t="s">
        <v>5</v>
      </c>
      <c r="L5" s="599"/>
      <c r="O5" s="543"/>
    </row>
    <row r="6" spans="1:16" s="10" customFormat="1" x14ac:dyDescent="0.25">
      <c r="A6" s="28"/>
      <c r="B6" s="31" t="s">
        <v>10</v>
      </c>
      <c r="C6" s="15">
        <v>2880</v>
      </c>
      <c r="D6" s="28"/>
      <c r="E6" s="35"/>
      <c r="G6" s="546"/>
      <c r="H6" s="547" t="s">
        <v>200</v>
      </c>
      <c r="I6" s="548">
        <v>5080</v>
      </c>
      <c r="J6" s="546"/>
      <c r="K6" s="549"/>
      <c r="L6" s="600"/>
      <c r="N6" s="10" t="s">
        <v>175</v>
      </c>
      <c r="O6" s="573" t="s">
        <v>180</v>
      </c>
    </row>
    <row r="7" spans="1:16" x14ac:dyDescent="0.25">
      <c r="A7" s="18"/>
      <c r="B7" s="20" t="s">
        <v>166</v>
      </c>
      <c r="C7" s="542" t="s">
        <v>177</v>
      </c>
      <c r="D7" s="18"/>
      <c r="E7" s="18"/>
      <c r="G7" s="550"/>
      <c r="H7" s="551" t="s">
        <v>167</v>
      </c>
      <c r="I7" s="542" t="s">
        <v>181</v>
      </c>
      <c r="J7" s="550"/>
      <c r="K7" s="550"/>
      <c r="L7" s="601"/>
      <c r="N7" s="1" t="s">
        <v>209</v>
      </c>
      <c r="O7" s="543"/>
    </row>
    <row r="8" spans="1:16" x14ac:dyDescent="0.25">
      <c r="A8" s="18"/>
      <c r="B8" s="643" t="s">
        <v>199</v>
      </c>
      <c r="C8" s="542"/>
      <c r="D8" s="18"/>
      <c r="E8" s="18"/>
      <c r="G8" s="550"/>
      <c r="H8" s="643" t="s">
        <v>199</v>
      </c>
      <c r="I8" s="542"/>
      <c r="J8" s="550"/>
      <c r="K8" s="550"/>
      <c r="L8" s="601"/>
      <c r="N8" s="1" t="s">
        <v>211</v>
      </c>
      <c r="O8" s="543"/>
    </row>
    <row r="9" spans="1:16" x14ac:dyDescent="0.25">
      <c r="A9" s="18"/>
      <c r="B9" s="642" t="s">
        <v>205</v>
      </c>
      <c r="C9" s="542" t="s">
        <v>210</v>
      </c>
      <c r="D9" s="18"/>
      <c r="E9" s="18"/>
      <c r="G9" s="550"/>
      <c r="H9" s="551" t="s">
        <v>190</v>
      </c>
      <c r="I9" s="542" t="s">
        <v>173</v>
      </c>
      <c r="J9" s="550"/>
      <c r="K9" s="550"/>
      <c r="L9" s="601"/>
      <c r="O9" s="543"/>
    </row>
    <row r="10" spans="1:16" x14ac:dyDescent="0.25">
      <c r="A10" s="6"/>
      <c r="B10" s="642" t="s">
        <v>198</v>
      </c>
      <c r="C10" s="27"/>
      <c r="D10" s="18"/>
      <c r="E10" s="18"/>
      <c r="G10" s="552"/>
      <c r="H10" s="551" t="s">
        <v>54</v>
      </c>
      <c r="I10" s="553"/>
      <c r="J10" s="550"/>
      <c r="K10" s="550"/>
      <c r="L10" s="601"/>
      <c r="O10" s="543"/>
    </row>
    <row r="11" spans="1:16" x14ac:dyDescent="0.25">
      <c r="A11" s="13"/>
      <c r="B11" s="30" t="s">
        <v>14</v>
      </c>
      <c r="C11" s="15">
        <v>2330</v>
      </c>
      <c r="D11" s="13"/>
      <c r="E11" s="35"/>
      <c r="G11" s="554"/>
      <c r="H11" s="555" t="s">
        <v>201</v>
      </c>
      <c r="I11" s="556">
        <v>4530</v>
      </c>
      <c r="J11" s="554"/>
      <c r="K11" s="549"/>
      <c r="L11" s="600"/>
      <c r="N11" s="10" t="s">
        <v>178</v>
      </c>
      <c r="O11" s="573" t="s">
        <v>182</v>
      </c>
    </row>
    <row r="12" spans="1:16" x14ac:dyDescent="0.25">
      <c r="A12" s="18"/>
      <c r="B12" s="613" t="s">
        <v>166</v>
      </c>
      <c r="C12" s="542" t="s">
        <v>171</v>
      </c>
      <c r="D12" s="18"/>
      <c r="E12" s="18"/>
      <c r="G12" s="550"/>
      <c r="H12" s="551" t="s">
        <v>167</v>
      </c>
      <c r="I12" s="542" t="s">
        <v>183</v>
      </c>
      <c r="J12" s="550"/>
      <c r="K12" s="550"/>
      <c r="L12" s="601"/>
      <c r="O12" s="543"/>
    </row>
    <row r="13" spans="1:16" x14ac:dyDescent="0.25">
      <c r="A13" s="18"/>
      <c r="B13" s="643" t="s">
        <v>199</v>
      </c>
      <c r="C13" s="542"/>
      <c r="D13" s="18"/>
      <c r="E13" s="18"/>
      <c r="G13" s="550"/>
      <c r="H13" s="643" t="s">
        <v>199</v>
      </c>
      <c r="I13" s="542"/>
      <c r="J13" s="550"/>
      <c r="K13" s="550"/>
      <c r="L13" s="601"/>
      <c r="O13" s="543"/>
    </row>
    <row r="14" spans="1:16" x14ac:dyDescent="0.25">
      <c r="A14" s="6"/>
      <c r="B14" s="646" t="s">
        <v>205</v>
      </c>
      <c r="C14" s="542" t="s">
        <v>179</v>
      </c>
      <c r="D14" s="6"/>
      <c r="E14" s="6"/>
      <c r="G14" s="552"/>
      <c r="H14" s="557" t="s">
        <v>190</v>
      </c>
      <c r="I14" s="542" t="s">
        <v>184</v>
      </c>
      <c r="J14" s="552"/>
      <c r="K14" s="552"/>
      <c r="L14" s="601"/>
    </row>
    <row r="15" spans="1:16" x14ac:dyDescent="0.25">
      <c r="A15" s="13"/>
      <c r="B15" s="97" t="s">
        <v>57</v>
      </c>
      <c r="C15" s="15">
        <v>1580</v>
      </c>
      <c r="D15" s="13"/>
      <c r="E15" s="35"/>
      <c r="G15" s="554"/>
      <c r="H15" s="555" t="s">
        <v>202</v>
      </c>
      <c r="I15" s="556">
        <v>4080</v>
      </c>
      <c r="J15" s="554"/>
      <c r="K15" s="549"/>
      <c r="L15" s="600"/>
      <c r="N15" s="543" t="s">
        <v>176</v>
      </c>
      <c r="O15" s="573" t="s">
        <v>185</v>
      </c>
    </row>
    <row r="16" spans="1:16" x14ac:dyDescent="0.25">
      <c r="A16" s="18"/>
      <c r="B16" s="20" t="s">
        <v>167</v>
      </c>
      <c r="C16" s="542" t="s">
        <v>170</v>
      </c>
      <c r="D16" s="18"/>
      <c r="E16" s="210"/>
      <c r="G16" s="550"/>
      <c r="H16" s="551" t="s">
        <v>167</v>
      </c>
      <c r="I16" s="542" t="s">
        <v>174</v>
      </c>
      <c r="J16" s="550"/>
      <c r="K16" s="558"/>
      <c r="L16" s="600"/>
    </row>
    <row r="17" spans="1:15" x14ac:dyDescent="0.25">
      <c r="A17" s="6"/>
      <c r="B17" s="21"/>
      <c r="C17" s="559" t="s">
        <v>179</v>
      </c>
      <c r="D17" s="6"/>
      <c r="E17" s="6"/>
      <c r="G17" s="552"/>
      <c r="H17" s="557"/>
      <c r="I17" s="559" t="s">
        <v>186</v>
      </c>
      <c r="J17" s="552"/>
      <c r="K17" s="552"/>
      <c r="L17" s="601"/>
    </row>
    <row r="18" spans="1:15" x14ac:dyDescent="0.25">
      <c r="A18" s="11"/>
      <c r="B18" s="20"/>
      <c r="C18" s="12"/>
      <c r="D18" s="11"/>
      <c r="E18" s="11"/>
      <c r="G18" s="11"/>
      <c r="H18" s="20"/>
      <c r="I18" s="12"/>
      <c r="J18" s="11"/>
      <c r="K18" s="11"/>
      <c r="L18" s="11"/>
      <c r="O18" s="1" t="s">
        <v>172</v>
      </c>
    </row>
    <row r="19" spans="1:15" x14ac:dyDescent="0.25">
      <c r="B19" s="39" t="s">
        <v>47</v>
      </c>
    </row>
    <row r="21" spans="1:15" x14ac:dyDescent="0.25">
      <c r="B21" s="39"/>
      <c r="C21" s="39"/>
      <c r="D21" s="39"/>
      <c r="E21" s="39"/>
      <c r="F21" s="39"/>
      <c r="G21" s="560"/>
      <c r="H21" s="560"/>
      <c r="I21" s="543"/>
      <c r="J21" s="543"/>
      <c r="K21" s="543"/>
      <c r="L21" s="543"/>
    </row>
    <row r="22" spans="1:15" x14ac:dyDescent="0.25">
      <c r="G22" s="543"/>
      <c r="H22" s="543"/>
      <c r="I22" s="543"/>
      <c r="J22" s="543"/>
      <c r="K22" s="543"/>
      <c r="L22" s="543"/>
    </row>
    <row r="23" spans="1:15" x14ac:dyDescent="0.25">
      <c r="A23" s="9"/>
      <c r="B23" s="9" t="s">
        <v>6</v>
      </c>
      <c r="C23" s="9" t="s">
        <v>4</v>
      </c>
      <c r="D23" s="25" t="s">
        <v>3</v>
      </c>
      <c r="E23" s="25" t="s">
        <v>5</v>
      </c>
      <c r="F23" s="3"/>
      <c r="G23" s="545"/>
      <c r="H23" s="545" t="s">
        <v>6</v>
      </c>
      <c r="I23" s="545" t="s">
        <v>4</v>
      </c>
      <c r="J23" s="544" t="s">
        <v>3</v>
      </c>
      <c r="K23" s="544" t="s">
        <v>5</v>
      </c>
      <c r="L23" s="599"/>
    </row>
    <row r="24" spans="1:15" x14ac:dyDescent="0.25">
      <c r="A24" s="6"/>
      <c r="B24" s="561" t="s">
        <v>0</v>
      </c>
      <c r="C24" s="562">
        <v>200</v>
      </c>
      <c r="D24" s="4"/>
      <c r="E24" s="4"/>
      <c r="G24" s="552"/>
      <c r="H24" s="604" t="s">
        <v>0</v>
      </c>
      <c r="I24" s="605">
        <v>200</v>
      </c>
      <c r="J24" s="606"/>
      <c r="K24" s="606"/>
      <c r="L24" s="601"/>
    </row>
    <row r="25" spans="1:15" x14ac:dyDescent="0.25">
      <c r="A25" s="4"/>
      <c r="B25" s="561" t="s">
        <v>168</v>
      </c>
      <c r="C25" s="564">
        <v>500</v>
      </c>
      <c r="D25" s="4"/>
      <c r="E25" s="4"/>
      <c r="G25" s="563"/>
      <c r="H25" s="604" t="s">
        <v>168</v>
      </c>
      <c r="I25" s="607">
        <v>500</v>
      </c>
      <c r="J25" s="606"/>
      <c r="K25" s="606"/>
      <c r="L25" s="601"/>
    </row>
    <row r="26" spans="1:15" x14ac:dyDescent="0.25">
      <c r="A26" s="16"/>
      <c r="B26" s="561" t="s">
        <v>169</v>
      </c>
      <c r="C26" s="564">
        <v>500</v>
      </c>
      <c r="D26" s="4"/>
      <c r="E26" s="4"/>
      <c r="G26" s="565"/>
      <c r="H26" s="604" t="s">
        <v>169</v>
      </c>
      <c r="I26" s="607">
        <v>500</v>
      </c>
      <c r="J26" s="606"/>
      <c r="K26" s="606"/>
      <c r="L26" s="601"/>
    </row>
    <row r="27" spans="1:15" x14ac:dyDescent="0.25">
      <c r="A27" s="16"/>
      <c r="B27" s="566" t="s">
        <v>207</v>
      </c>
      <c r="C27" s="567">
        <v>550</v>
      </c>
      <c r="D27" s="4"/>
      <c r="E27" s="4"/>
      <c r="G27" s="565"/>
      <c r="H27" s="608" t="s">
        <v>208</v>
      </c>
      <c r="I27" s="609">
        <v>750</v>
      </c>
      <c r="J27" s="606"/>
      <c r="K27" s="606"/>
      <c r="L27" s="601"/>
    </row>
    <row r="28" spans="1:15" x14ac:dyDescent="0.25">
      <c r="A28" s="13"/>
      <c r="B28" s="566" t="s">
        <v>8</v>
      </c>
      <c r="C28" s="567">
        <v>280</v>
      </c>
      <c r="D28" s="4"/>
      <c r="E28" s="4"/>
      <c r="G28" s="554"/>
      <c r="H28" s="608" t="s">
        <v>8</v>
      </c>
      <c r="I28" s="609">
        <v>280</v>
      </c>
      <c r="J28" s="606"/>
      <c r="K28" s="606"/>
      <c r="L28" s="601"/>
    </row>
    <row r="29" spans="1:15" x14ac:dyDescent="0.25">
      <c r="A29" s="16"/>
      <c r="B29" s="566" t="s">
        <v>26</v>
      </c>
      <c r="C29" s="568">
        <v>50</v>
      </c>
      <c r="D29" s="4"/>
      <c r="E29" s="4"/>
      <c r="G29" s="565"/>
      <c r="H29" s="608" t="s">
        <v>26</v>
      </c>
      <c r="I29" s="610">
        <v>50</v>
      </c>
      <c r="J29" s="606"/>
      <c r="K29" s="606"/>
      <c r="L29" s="601"/>
    </row>
    <row r="30" spans="1:15" x14ac:dyDescent="0.25">
      <c r="A30" s="16"/>
      <c r="B30" s="570" t="s">
        <v>9</v>
      </c>
      <c r="C30" s="556">
        <v>1440</v>
      </c>
      <c r="D30" s="14"/>
      <c r="E30" s="14"/>
      <c r="F30" s="3"/>
      <c r="G30" s="569"/>
      <c r="H30" s="611" t="s">
        <v>9</v>
      </c>
      <c r="I30" s="603">
        <v>2400</v>
      </c>
      <c r="J30" s="611"/>
      <c r="K30" s="611"/>
      <c r="L30" s="551"/>
    </row>
    <row r="31" spans="1:15" x14ac:dyDescent="0.25">
      <c r="A31" s="17"/>
      <c r="B31" s="572" t="s">
        <v>31</v>
      </c>
      <c r="C31" s="553"/>
      <c r="D31" s="23"/>
      <c r="E31" s="23"/>
      <c r="F31" s="3"/>
      <c r="G31" s="571"/>
      <c r="H31" s="612" t="s">
        <v>31</v>
      </c>
      <c r="I31" s="602"/>
      <c r="J31" s="612"/>
      <c r="K31" s="612"/>
      <c r="L31" s="551"/>
    </row>
    <row r="32" spans="1:15" x14ac:dyDescent="0.25">
      <c r="A32" s="18"/>
      <c r="B32" s="572" t="s">
        <v>27</v>
      </c>
      <c r="C32" s="553"/>
      <c r="D32" s="23"/>
      <c r="E32" s="23"/>
      <c r="F32" s="3"/>
      <c r="G32" s="572"/>
      <c r="H32" s="612" t="s">
        <v>27</v>
      </c>
      <c r="I32" s="602"/>
      <c r="J32" s="612"/>
      <c r="K32" s="612"/>
      <c r="L32" s="551"/>
    </row>
    <row r="33" spans="1:15" x14ac:dyDescent="0.25">
      <c r="A33" s="18"/>
      <c r="B33" s="572" t="s">
        <v>30</v>
      </c>
      <c r="C33" s="553"/>
      <c r="D33" s="23"/>
      <c r="E33" s="23"/>
      <c r="F33" s="3"/>
      <c r="G33" s="572"/>
      <c r="H33" s="612" t="s">
        <v>30</v>
      </c>
      <c r="I33" s="602"/>
      <c r="J33" s="612"/>
      <c r="K33" s="612"/>
      <c r="L33" s="551"/>
    </row>
    <row r="34" spans="1:15" s="3" customFormat="1" ht="15" x14ac:dyDescent="0.25">
      <c r="A34" s="5"/>
      <c r="B34" s="566" t="s">
        <v>32</v>
      </c>
      <c r="C34" s="567">
        <v>1050</v>
      </c>
      <c r="D34" s="5"/>
      <c r="E34" s="5"/>
      <c r="G34" s="566"/>
      <c r="H34" s="608" t="s">
        <v>32</v>
      </c>
      <c r="I34" s="609">
        <v>1050</v>
      </c>
      <c r="J34" s="608"/>
      <c r="K34" s="608"/>
      <c r="L34" s="551"/>
    </row>
    <row r="35" spans="1:15" x14ac:dyDescent="0.25">
      <c r="A35" s="5"/>
      <c r="B35" s="566" t="s">
        <v>56</v>
      </c>
      <c r="C35" s="567">
        <v>100</v>
      </c>
      <c r="D35" s="5"/>
      <c r="E35" s="5"/>
      <c r="F35" s="3"/>
      <c r="G35" s="566"/>
      <c r="H35" s="608" t="s">
        <v>56</v>
      </c>
      <c r="I35" s="609">
        <v>100</v>
      </c>
      <c r="J35" s="608"/>
      <c r="K35" s="608"/>
      <c r="L35" s="551"/>
      <c r="M35" s="3"/>
      <c r="N35" s="3"/>
      <c r="O35" s="3"/>
    </row>
    <row r="36" spans="1:15" ht="16.5" thickBot="1" x14ac:dyDescent="0.3"/>
    <row r="37" spans="1:15" ht="16.5" thickBot="1" x14ac:dyDescent="0.3">
      <c r="B37" s="38" t="s">
        <v>33</v>
      </c>
      <c r="E37" s="64"/>
      <c r="H37" s="38" t="s">
        <v>33</v>
      </c>
      <c r="K37" s="64"/>
      <c r="L37" s="11"/>
    </row>
  </sheetData>
  <pageMargins left="0.23622047244094491" right="0.15748031496062992" top="0.44" bottom="0.28000000000000003" header="0.31496062992125984" footer="0.17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workbookViewId="0">
      <selection activeCell="F27" sqref="F27"/>
    </sheetView>
  </sheetViews>
  <sheetFormatPr defaultRowHeight="12.75" x14ac:dyDescent="0.2"/>
  <cols>
    <col min="2" max="2" width="11.28515625" bestFit="1" customWidth="1"/>
    <col min="4" max="5" width="9.5703125" bestFit="1" customWidth="1"/>
    <col min="6" max="6" width="12.42578125" bestFit="1" customWidth="1"/>
    <col min="7" max="7" width="11" bestFit="1" customWidth="1"/>
    <col min="8" max="8" width="12.42578125" bestFit="1" customWidth="1"/>
  </cols>
  <sheetData>
    <row r="4" spans="1:8" x14ac:dyDescent="0.2">
      <c r="D4" t="s">
        <v>81</v>
      </c>
      <c r="E4" t="s">
        <v>82</v>
      </c>
      <c r="F4" t="s">
        <v>88</v>
      </c>
      <c r="G4" t="s">
        <v>83</v>
      </c>
      <c r="H4" t="s">
        <v>89</v>
      </c>
    </row>
    <row r="5" spans="1:8" x14ac:dyDescent="0.2">
      <c r="A5">
        <v>1</v>
      </c>
      <c r="B5" t="s">
        <v>80</v>
      </c>
      <c r="C5" t="s">
        <v>79</v>
      </c>
      <c r="D5" s="168">
        <v>1500</v>
      </c>
      <c r="E5" s="168">
        <v>2200</v>
      </c>
      <c r="F5" s="168">
        <f>D5*E5</f>
        <v>3300000</v>
      </c>
      <c r="G5" s="169">
        <f>F5*0.15</f>
        <v>495000</v>
      </c>
      <c r="H5" s="169">
        <f>F5-G5</f>
        <v>2805000</v>
      </c>
    </row>
    <row r="6" spans="1:8" x14ac:dyDescent="0.2">
      <c r="D6" s="168"/>
      <c r="E6" s="168"/>
      <c r="F6" s="168"/>
    </row>
    <row r="7" spans="1:8" x14ac:dyDescent="0.2">
      <c r="A7">
        <v>2</v>
      </c>
      <c r="B7" t="s">
        <v>80</v>
      </c>
      <c r="C7" t="s">
        <v>79</v>
      </c>
      <c r="D7" s="168">
        <v>1000</v>
      </c>
      <c r="E7" s="168">
        <v>2200</v>
      </c>
      <c r="F7" s="168">
        <f t="shared" ref="F7:F8" si="0">D7*E7</f>
        <v>2200000</v>
      </c>
      <c r="G7" s="169">
        <f t="shared" ref="G7:G8" si="1">F7*0.15</f>
        <v>330000</v>
      </c>
      <c r="H7" s="169">
        <f t="shared" ref="H7:H8" si="2">F7-G7</f>
        <v>1870000</v>
      </c>
    </row>
    <row r="8" spans="1:8" x14ac:dyDescent="0.2">
      <c r="B8" t="s">
        <v>84</v>
      </c>
      <c r="C8" t="s">
        <v>79</v>
      </c>
      <c r="D8" s="168">
        <v>500</v>
      </c>
      <c r="E8" s="168">
        <v>3200</v>
      </c>
      <c r="F8" s="170">
        <f t="shared" si="0"/>
        <v>1600000</v>
      </c>
      <c r="G8" s="171">
        <f t="shared" si="1"/>
        <v>240000</v>
      </c>
      <c r="H8" s="171">
        <f t="shared" si="2"/>
        <v>1360000</v>
      </c>
    </row>
    <row r="9" spans="1:8" x14ac:dyDescent="0.2">
      <c r="D9" s="168"/>
      <c r="E9" s="168"/>
      <c r="F9" s="168">
        <f>SUM(F7:F8)</f>
        <v>3800000</v>
      </c>
      <c r="G9" s="169">
        <f>SUM(G7:G8)</f>
        <v>570000</v>
      </c>
      <c r="H9" s="169">
        <f>SUM(H7:H8)</f>
        <v>3230000</v>
      </c>
    </row>
    <row r="10" spans="1:8" x14ac:dyDescent="0.2">
      <c r="D10" s="168"/>
      <c r="E10" s="168"/>
      <c r="F10" s="168"/>
      <c r="G10" s="169"/>
      <c r="H10" s="169"/>
    </row>
    <row r="11" spans="1:8" x14ac:dyDescent="0.2">
      <c r="D11" s="168"/>
      <c r="E11" s="168"/>
      <c r="F11" s="168"/>
    </row>
    <row r="12" spans="1:8" x14ac:dyDescent="0.2">
      <c r="A12">
        <v>3</v>
      </c>
      <c r="B12" t="s">
        <v>80</v>
      </c>
      <c r="D12" s="168">
        <v>1000</v>
      </c>
      <c r="E12" s="168"/>
      <c r="F12" s="168"/>
      <c r="G12" s="169">
        <f>'1st year'!L89</f>
        <v>543000</v>
      </c>
      <c r="H12" s="169" t="e">
        <f>'1st year'!S89+'1st year'!R89+'1st year'!O89</f>
        <v>#REF!</v>
      </c>
    </row>
    <row r="13" spans="1:8" x14ac:dyDescent="0.2">
      <c r="B13" t="s">
        <v>85</v>
      </c>
      <c r="D13" s="168">
        <v>500</v>
      </c>
      <c r="E13" s="168"/>
      <c r="F13" s="168"/>
    </row>
    <row r="14" spans="1:8" x14ac:dyDescent="0.2">
      <c r="B14" t="s">
        <v>86</v>
      </c>
      <c r="D14" s="168"/>
      <c r="E14" s="168"/>
      <c r="F14" s="168"/>
    </row>
    <row r="15" spans="1:8" x14ac:dyDescent="0.2">
      <c r="B15" t="s">
        <v>87</v>
      </c>
      <c r="D15" s="168"/>
      <c r="E15" s="168"/>
      <c r="F15" s="168"/>
    </row>
    <row r="16" spans="1:8" x14ac:dyDescent="0.2">
      <c r="D16" s="168"/>
      <c r="E16" s="168"/>
      <c r="F16" s="168"/>
    </row>
    <row r="17" spans="4:6" x14ac:dyDescent="0.2">
      <c r="D17" s="168"/>
      <c r="E17" s="168"/>
      <c r="F17" s="168"/>
    </row>
    <row r="18" spans="4:6" x14ac:dyDescent="0.2">
      <c r="D18" s="168"/>
      <c r="E18" s="168"/>
      <c r="F18" s="168"/>
    </row>
    <row r="19" spans="4:6" x14ac:dyDescent="0.2">
      <c r="D19" s="168"/>
      <c r="E19" s="168"/>
      <c r="F19" s="168"/>
    </row>
    <row r="20" spans="4:6" x14ac:dyDescent="0.2">
      <c r="D20" s="168"/>
      <c r="E20" s="168"/>
      <c r="F20" s="168"/>
    </row>
    <row r="21" spans="4:6" x14ac:dyDescent="0.2">
      <c r="D21" s="168"/>
      <c r="E21" s="168"/>
      <c r="F21" s="168"/>
    </row>
    <row r="22" spans="4:6" x14ac:dyDescent="0.2">
      <c r="D22" s="168"/>
      <c r="E22" s="168"/>
      <c r="F22" s="168"/>
    </row>
    <row r="23" spans="4:6" x14ac:dyDescent="0.2">
      <c r="D23" s="168"/>
      <c r="E23" s="168"/>
      <c r="F23" s="168"/>
    </row>
    <row r="24" spans="4:6" x14ac:dyDescent="0.2">
      <c r="D24" s="168"/>
      <c r="E24" s="168"/>
      <c r="F24" s="168"/>
    </row>
    <row r="25" spans="4:6" x14ac:dyDescent="0.2">
      <c r="D25" s="168"/>
      <c r="E25" s="168"/>
      <c r="F25" s="168"/>
    </row>
    <row r="26" spans="4:6" x14ac:dyDescent="0.2">
      <c r="D26" s="168"/>
      <c r="E26" s="168"/>
      <c r="F26" s="16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workbookViewId="0">
      <selection activeCell="L5" sqref="L5"/>
    </sheetView>
  </sheetViews>
  <sheetFormatPr defaultRowHeight="12.75" x14ac:dyDescent="0.2"/>
  <cols>
    <col min="2" max="2" width="13.7109375" customWidth="1"/>
  </cols>
  <sheetData>
    <row r="4" spans="2:4" x14ac:dyDescent="0.2">
      <c r="B4" t="s">
        <v>15</v>
      </c>
    </row>
    <row r="6" spans="2:4" x14ac:dyDescent="0.2">
      <c r="B6" t="s">
        <v>16</v>
      </c>
      <c r="D6" s="32">
        <f>2500/26/8*6</f>
        <v>72.115384615384613</v>
      </c>
    </row>
    <row r="7" spans="2:4" x14ac:dyDescent="0.2">
      <c r="B7" t="s">
        <v>17</v>
      </c>
      <c r="D7" s="33">
        <v>150</v>
      </c>
    </row>
    <row r="8" spans="2:4" x14ac:dyDescent="0.2">
      <c r="B8" t="s">
        <v>18</v>
      </c>
      <c r="D8" s="34">
        <v>28</v>
      </c>
    </row>
    <row r="10" spans="2:4" x14ac:dyDescent="0.2">
      <c r="D10" s="32">
        <f>SUM(D6:D9)</f>
        <v>250.11538461538461</v>
      </c>
    </row>
    <row r="12" spans="2:4" x14ac:dyDescent="0.2">
      <c r="B12" t="s">
        <v>19</v>
      </c>
      <c r="D12">
        <v>350</v>
      </c>
    </row>
    <row r="18" spans="2:4" x14ac:dyDescent="0.2">
      <c r="B18" t="s">
        <v>16</v>
      </c>
      <c r="D18" s="32">
        <f>2500/26/8*6</f>
        <v>72.115384615384613</v>
      </c>
    </row>
    <row r="19" spans="2:4" x14ac:dyDescent="0.2">
      <c r="B19" t="s">
        <v>17</v>
      </c>
      <c r="D19" s="33">
        <v>150</v>
      </c>
    </row>
    <row r="20" spans="2:4" x14ac:dyDescent="0.2">
      <c r="B20" t="s">
        <v>18</v>
      </c>
      <c r="D20" s="34">
        <f>28*2</f>
        <v>56</v>
      </c>
    </row>
    <row r="22" spans="2:4" x14ac:dyDescent="0.2">
      <c r="D22" s="32">
        <f>SUM(D18:D21)</f>
        <v>278.11538461538464</v>
      </c>
    </row>
    <row r="24" spans="2:4" x14ac:dyDescent="0.2">
      <c r="B24" t="s">
        <v>19</v>
      </c>
      <c r="D24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N62"/>
  <sheetViews>
    <sheetView topLeftCell="A46" workbookViewId="0">
      <selection activeCell="J62" sqref="J62"/>
    </sheetView>
  </sheetViews>
  <sheetFormatPr defaultRowHeight="12.75" x14ac:dyDescent="0.2"/>
  <cols>
    <col min="6" max="8" width="9.5703125" bestFit="1" customWidth="1"/>
    <col min="9" max="9" width="12.42578125" bestFit="1" customWidth="1"/>
    <col min="10" max="10" width="11" bestFit="1" customWidth="1"/>
    <col min="11" max="11" width="12.42578125" bestFit="1" customWidth="1"/>
  </cols>
  <sheetData>
    <row r="3" spans="5:11" x14ac:dyDescent="0.2">
      <c r="J3" s="176">
        <v>0.15</v>
      </c>
    </row>
    <row r="4" spans="5:11" x14ac:dyDescent="0.2">
      <c r="F4" s="166">
        <v>125</v>
      </c>
      <c r="G4" s="166">
        <v>2200</v>
      </c>
      <c r="H4" s="167">
        <v>10.7</v>
      </c>
      <c r="I4" s="168">
        <f>F4*G4*H4</f>
        <v>2942500</v>
      </c>
      <c r="J4" s="169">
        <f>I4*J3</f>
        <v>441375</v>
      </c>
      <c r="K4" s="169">
        <f>I4-J4</f>
        <v>2501125</v>
      </c>
    </row>
    <row r="6" spans="5:11" x14ac:dyDescent="0.2">
      <c r="I6" s="175">
        <f>SUM(I4:I5)</f>
        <v>2942500</v>
      </c>
      <c r="K6" s="169">
        <f>SUM(K4:K5)</f>
        <v>2501125</v>
      </c>
    </row>
    <row r="9" spans="5:11" x14ac:dyDescent="0.2">
      <c r="J9" s="176">
        <v>0.15</v>
      </c>
    </row>
    <row r="10" spans="5:11" x14ac:dyDescent="0.2">
      <c r="E10">
        <v>1000</v>
      </c>
      <c r="F10" s="166">
        <v>83</v>
      </c>
      <c r="G10" s="166">
        <v>2200</v>
      </c>
      <c r="H10" s="168">
        <v>9.3000000000000007</v>
      </c>
      <c r="I10" s="168">
        <f>F10*G10*H10</f>
        <v>1698180.0000000002</v>
      </c>
      <c r="J10" s="169">
        <f>I10*J9</f>
        <v>254727.00000000003</v>
      </c>
      <c r="K10" s="169">
        <f>I10-J10</f>
        <v>1443453.0000000002</v>
      </c>
    </row>
    <row r="11" spans="5:11" x14ac:dyDescent="0.2">
      <c r="E11">
        <v>500</v>
      </c>
      <c r="F11" s="166">
        <v>42</v>
      </c>
      <c r="G11" s="166">
        <v>3200</v>
      </c>
      <c r="H11" s="168">
        <v>9.3000000000000007</v>
      </c>
      <c r="I11" s="168">
        <f>F11*G11*H11</f>
        <v>1249920</v>
      </c>
      <c r="J11" s="169">
        <f>I11*J9</f>
        <v>187488</v>
      </c>
      <c r="K11" s="169">
        <f>I11-J11</f>
        <v>1062432</v>
      </c>
    </row>
    <row r="13" spans="5:11" x14ac:dyDescent="0.2">
      <c r="I13" s="175">
        <f>SUM(I10:I12)</f>
        <v>2948100</v>
      </c>
      <c r="K13" s="169">
        <f>SUM(K10:K12)</f>
        <v>2505885</v>
      </c>
    </row>
    <row r="15" spans="5:11" x14ac:dyDescent="0.2">
      <c r="J15" s="176">
        <v>0.15</v>
      </c>
    </row>
    <row r="16" spans="5:11" x14ac:dyDescent="0.2">
      <c r="F16" s="166"/>
      <c r="G16" s="166">
        <v>2200</v>
      </c>
      <c r="H16" s="168">
        <v>9.3000000000000007</v>
      </c>
      <c r="I16" s="168">
        <v>5216650</v>
      </c>
      <c r="J16" s="169">
        <v>570000</v>
      </c>
      <c r="K16" s="169">
        <f>I16-J16</f>
        <v>4646650</v>
      </c>
    </row>
    <row r="17" spans="5:14" ht="13.5" thickBot="1" x14ac:dyDescent="0.25">
      <c r="F17" s="166"/>
      <c r="G17" s="166"/>
      <c r="H17" s="168"/>
      <c r="I17" s="168"/>
      <c r="J17" s="169"/>
      <c r="K17" s="169"/>
    </row>
    <row r="18" spans="5:14" x14ac:dyDescent="0.2">
      <c r="E18" s="177"/>
      <c r="F18" s="178"/>
      <c r="G18" s="178"/>
      <c r="H18" s="178"/>
      <c r="I18" s="178"/>
      <c r="J18" s="178"/>
      <c r="K18" s="178"/>
      <c r="L18" s="179"/>
    </row>
    <row r="19" spans="5:14" x14ac:dyDescent="0.2">
      <c r="E19" s="180">
        <v>400</v>
      </c>
      <c r="F19" s="33">
        <f>E19/12</f>
        <v>33.333333333333336</v>
      </c>
      <c r="G19" s="33">
        <v>2900</v>
      </c>
      <c r="H19" s="33">
        <v>6.8</v>
      </c>
      <c r="I19" s="181">
        <f>F19*G19*H19</f>
        <v>657333.33333333337</v>
      </c>
      <c r="J19" s="181">
        <f>I19*0.15</f>
        <v>98600</v>
      </c>
      <c r="K19" s="181">
        <f>I19-J19</f>
        <v>558733.33333333337</v>
      </c>
      <c r="L19" s="182"/>
      <c r="M19" s="168"/>
      <c r="N19" s="168"/>
    </row>
    <row r="20" spans="5:14" x14ac:dyDescent="0.2">
      <c r="E20" s="180">
        <v>300</v>
      </c>
      <c r="F20" s="33">
        <f t="shared" ref="F20:F22" si="0">E20/12</f>
        <v>25</v>
      </c>
      <c r="G20" s="33">
        <v>2500</v>
      </c>
      <c r="H20" s="33">
        <v>6.8</v>
      </c>
      <c r="I20" s="181">
        <f t="shared" ref="I20:I21" si="1">F20*G20*H20</f>
        <v>425000</v>
      </c>
      <c r="J20" s="181">
        <f t="shared" ref="J20:J22" si="2">I20*0.15</f>
        <v>63750</v>
      </c>
      <c r="K20" s="181">
        <f t="shared" ref="K20:K22" si="3">I20-J20</f>
        <v>361250</v>
      </c>
      <c r="L20" s="182"/>
      <c r="M20" s="168"/>
      <c r="N20" s="168"/>
    </row>
    <row r="21" spans="5:14" x14ac:dyDescent="0.2">
      <c r="E21" s="180">
        <v>200</v>
      </c>
      <c r="F21" s="33">
        <f t="shared" si="0"/>
        <v>16.666666666666668</v>
      </c>
      <c r="G21" s="33">
        <v>2400</v>
      </c>
      <c r="H21" s="33">
        <v>6.8</v>
      </c>
      <c r="I21" s="181">
        <f t="shared" si="1"/>
        <v>272000</v>
      </c>
      <c r="J21" s="181">
        <f t="shared" si="2"/>
        <v>40800</v>
      </c>
      <c r="K21" s="181">
        <f t="shared" si="3"/>
        <v>231200</v>
      </c>
      <c r="L21" s="182"/>
      <c r="M21" s="168"/>
      <c r="N21" s="168"/>
    </row>
    <row r="22" spans="5:14" x14ac:dyDescent="0.2">
      <c r="E22" s="180">
        <v>100</v>
      </c>
      <c r="F22" s="33">
        <f t="shared" si="0"/>
        <v>8.3333333333333339</v>
      </c>
      <c r="G22" s="33">
        <v>2200</v>
      </c>
      <c r="H22" s="33">
        <v>6.8</v>
      </c>
      <c r="I22" s="181">
        <f>F22*G22*H22</f>
        <v>124666.66666666669</v>
      </c>
      <c r="J22" s="181">
        <f t="shared" si="2"/>
        <v>18700.000000000004</v>
      </c>
      <c r="K22" s="181">
        <f t="shared" si="3"/>
        <v>105966.66666666669</v>
      </c>
      <c r="L22" s="182"/>
      <c r="M22" s="168"/>
      <c r="N22" s="168"/>
    </row>
    <row r="23" spans="5:14" x14ac:dyDescent="0.2">
      <c r="E23" s="180"/>
      <c r="F23" s="33"/>
      <c r="G23" s="33"/>
      <c r="H23" s="33">
        <v>6.8</v>
      </c>
      <c r="I23" s="181"/>
      <c r="J23" s="181"/>
      <c r="K23" s="181"/>
      <c r="L23" s="182"/>
      <c r="M23" s="168"/>
      <c r="N23" s="168"/>
    </row>
    <row r="24" spans="5:14" x14ac:dyDescent="0.2">
      <c r="E24" s="180"/>
      <c r="F24" s="33"/>
      <c r="G24" s="33"/>
      <c r="H24" s="33">
        <v>6.8</v>
      </c>
      <c r="I24" s="187">
        <f t="shared" ref="I24:K24" si="4">SUM(I19:I23)</f>
        <v>1479000.0000000002</v>
      </c>
      <c r="J24" s="187">
        <f t="shared" si="4"/>
        <v>221850</v>
      </c>
      <c r="K24" s="187">
        <f t="shared" si="4"/>
        <v>1257150.0000000002</v>
      </c>
      <c r="L24" s="182"/>
      <c r="M24" s="168"/>
      <c r="N24" s="168"/>
    </row>
    <row r="25" spans="5:14" x14ac:dyDescent="0.2">
      <c r="E25" s="180"/>
      <c r="F25" s="33"/>
      <c r="G25" s="33"/>
      <c r="H25" s="33">
        <v>6.8</v>
      </c>
      <c r="I25" s="33"/>
      <c r="J25" s="33"/>
      <c r="K25" s="33"/>
      <c r="L25" s="183"/>
    </row>
    <row r="26" spans="5:14" x14ac:dyDescent="0.2">
      <c r="E26" s="180">
        <v>200</v>
      </c>
      <c r="F26" s="33">
        <f>E26/12</f>
        <v>16.666666666666668</v>
      </c>
      <c r="G26" s="33">
        <v>4450</v>
      </c>
      <c r="H26" s="33">
        <v>6.8</v>
      </c>
      <c r="I26" s="181">
        <f>F26*G26*H26</f>
        <v>504333.33333333337</v>
      </c>
      <c r="J26" s="181">
        <f>I26*0.15</f>
        <v>75650</v>
      </c>
      <c r="K26" s="181">
        <f>I26-J26</f>
        <v>428683.33333333337</v>
      </c>
      <c r="L26" s="183"/>
    </row>
    <row r="27" spans="5:14" x14ac:dyDescent="0.2">
      <c r="E27" s="180">
        <v>150</v>
      </c>
      <c r="F27" s="33">
        <f t="shared" ref="F27:F29" si="5">E27/12</f>
        <v>12.5</v>
      </c>
      <c r="G27" s="33">
        <v>3800</v>
      </c>
      <c r="H27" s="33">
        <v>6.8</v>
      </c>
      <c r="I27" s="181">
        <f t="shared" ref="I27:I29" si="6">F27*G27*H27</f>
        <v>323000</v>
      </c>
      <c r="J27" s="181">
        <f>I27*0.15</f>
        <v>48450</v>
      </c>
      <c r="K27" s="181">
        <f t="shared" ref="K27:K29" si="7">I27-J27</f>
        <v>274550</v>
      </c>
      <c r="L27" s="183"/>
    </row>
    <row r="28" spans="5:14" x14ac:dyDescent="0.2">
      <c r="E28" s="180">
        <v>100</v>
      </c>
      <c r="F28" s="33">
        <f t="shared" si="5"/>
        <v>8.3333333333333339</v>
      </c>
      <c r="G28" s="33">
        <v>3550</v>
      </c>
      <c r="H28" s="33">
        <v>6.8</v>
      </c>
      <c r="I28" s="181">
        <f t="shared" si="6"/>
        <v>201166.66666666669</v>
      </c>
      <c r="J28" s="181">
        <f>I28*0.15</f>
        <v>30175</v>
      </c>
      <c r="K28" s="181">
        <f t="shared" si="7"/>
        <v>170991.66666666669</v>
      </c>
      <c r="L28" s="183"/>
    </row>
    <row r="29" spans="5:14" x14ac:dyDescent="0.2">
      <c r="E29" s="180">
        <v>50</v>
      </c>
      <c r="F29" s="33">
        <f t="shared" si="5"/>
        <v>4.166666666666667</v>
      </c>
      <c r="G29" s="33">
        <v>3200</v>
      </c>
      <c r="H29" s="33">
        <v>6.8</v>
      </c>
      <c r="I29" s="181">
        <f t="shared" si="6"/>
        <v>90666.666666666672</v>
      </c>
      <c r="J29" s="181">
        <f>I29*0.15</f>
        <v>13600</v>
      </c>
      <c r="K29" s="181">
        <f t="shared" si="7"/>
        <v>77066.666666666672</v>
      </c>
      <c r="L29" s="183"/>
    </row>
    <row r="30" spans="5:14" x14ac:dyDescent="0.2">
      <c r="E30" s="180"/>
      <c r="F30" s="33"/>
      <c r="G30" s="33"/>
      <c r="H30" s="33">
        <v>6.8</v>
      </c>
      <c r="I30" s="181"/>
      <c r="J30" s="181"/>
      <c r="K30" s="181"/>
      <c r="L30" s="183"/>
    </row>
    <row r="31" spans="5:14" x14ac:dyDescent="0.2">
      <c r="E31" s="180"/>
      <c r="F31" s="33"/>
      <c r="G31" s="33"/>
      <c r="H31" s="33">
        <v>6.8</v>
      </c>
      <c r="I31" s="187">
        <f t="shared" ref="I31" si="8">SUM(I26:I30)</f>
        <v>1119166.6666666667</v>
      </c>
      <c r="J31" s="187">
        <f t="shared" ref="J31" si="9">SUM(J26:J30)</f>
        <v>167875</v>
      </c>
      <c r="K31" s="187">
        <f t="shared" ref="K31" si="10">SUM(K26:K30)</f>
        <v>951291.66666666663</v>
      </c>
      <c r="L31" s="183"/>
    </row>
    <row r="32" spans="5:14" x14ac:dyDescent="0.2">
      <c r="E32" s="180"/>
      <c r="F32" s="33"/>
      <c r="G32" s="33"/>
      <c r="H32" s="33">
        <v>6.8</v>
      </c>
      <c r="I32" s="181"/>
      <c r="J32" s="181"/>
      <c r="K32" s="181"/>
      <c r="L32" s="183"/>
    </row>
    <row r="33" spans="5:12" x14ac:dyDescent="0.2">
      <c r="E33">
        <v>150</v>
      </c>
      <c r="F33" s="33">
        <f>E33/12</f>
        <v>12.5</v>
      </c>
      <c r="G33">
        <v>200</v>
      </c>
      <c r="H33" s="33">
        <v>6.8</v>
      </c>
      <c r="I33" s="181">
        <f>F33*G33*H33</f>
        <v>17000</v>
      </c>
      <c r="J33" s="181">
        <v>0</v>
      </c>
      <c r="K33" s="181">
        <f t="shared" ref="K33:K41" si="11">I33-J33</f>
        <v>17000</v>
      </c>
      <c r="L33" s="183"/>
    </row>
    <row r="34" spans="5:12" x14ac:dyDescent="0.2">
      <c r="E34">
        <v>100</v>
      </c>
      <c r="F34" s="33">
        <f t="shared" ref="F34:F41" si="12">E34/12</f>
        <v>8.3333333333333339</v>
      </c>
      <c r="G34">
        <v>500</v>
      </c>
      <c r="H34" s="33">
        <v>6.8</v>
      </c>
      <c r="I34" s="181">
        <f t="shared" ref="I34:I41" si="13">F34*G34*H34</f>
        <v>28333.333333333336</v>
      </c>
      <c r="J34" s="181">
        <v>0</v>
      </c>
      <c r="K34" s="181">
        <f t="shared" si="11"/>
        <v>28333.333333333336</v>
      </c>
      <c r="L34" s="183"/>
    </row>
    <row r="35" spans="5:12" x14ac:dyDescent="0.2">
      <c r="E35">
        <v>30</v>
      </c>
      <c r="F35" s="33">
        <f t="shared" si="12"/>
        <v>2.5</v>
      </c>
      <c r="G35">
        <v>350</v>
      </c>
      <c r="H35" s="33">
        <v>6.8</v>
      </c>
      <c r="I35" s="181">
        <f t="shared" si="13"/>
        <v>5950</v>
      </c>
      <c r="J35" s="181">
        <v>0</v>
      </c>
      <c r="K35" s="181">
        <f t="shared" si="11"/>
        <v>5950</v>
      </c>
      <c r="L35" s="183"/>
    </row>
    <row r="36" spans="5:12" x14ac:dyDescent="0.2">
      <c r="E36">
        <v>300</v>
      </c>
      <c r="F36" s="33">
        <f t="shared" si="12"/>
        <v>25</v>
      </c>
      <c r="G36">
        <v>150</v>
      </c>
      <c r="H36" s="33">
        <v>6.8</v>
      </c>
      <c r="I36" s="181">
        <f t="shared" si="13"/>
        <v>25500</v>
      </c>
      <c r="J36" s="181">
        <v>0</v>
      </c>
      <c r="K36" s="181">
        <f t="shared" si="11"/>
        <v>25500</v>
      </c>
      <c r="L36" s="183"/>
    </row>
    <row r="37" spans="5:12" x14ac:dyDescent="0.2">
      <c r="E37">
        <v>120</v>
      </c>
      <c r="F37" s="33">
        <f t="shared" si="12"/>
        <v>10</v>
      </c>
      <c r="G37">
        <v>180</v>
      </c>
      <c r="H37" s="33">
        <v>6.8</v>
      </c>
      <c r="I37" s="181">
        <f t="shared" si="13"/>
        <v>12240</v>
      </c>
      <c r="J37" s="181">
        <v>0</v>
      </c>
      <c r="K37" s="181">
        <f t="shared" si="11"/>
        <v>12240</v>
      </c>
      <c r="L37" s="183"/>
    </row>
    <row r="38" spans="5:12" x14ac:dyDescent="0.2">
      <c r="E38">
        <v>120</v>
      </c>
      <c r="F38" s="33">
        <f t="shared" si="12"/>
        <v>10</v>
      </c>
      <c r="G38">
        <v>50</v>
      </c>
      <c r="H38" s="33">
        <v>6.8</v>
      </c>
      <c r="I38" s="181">
        <f t="shared" si="13"/>
        <v>3400</v>
      </c>
      <c r="J38" s="181">
        <v>0</v>
      </c>
      <c r="K38" s="181">
        <f t="shared" si="11"/>
        <v>3400</v>
      </c>
      <c r="L38" s="183"/>
    </row>
    <row r="39" spans="5:12" x14ac:dyDescent="0.2">
      <c r="E39">
        <v>120</v>
      </c>
      <c r="F39" s="33">
        <f t="shared" si="12"/>
        <v>10</v>
      </c>
      <c r="G39">
        <v>450</v>
      </c>
      <c r="H39" s="33">
        <v>6.8</v>
      </c>
      <c r="I39" s="181">
        <f t="shared" si="13"/>
        <v>30600</v>
      </c>
      <c r="J39" s="181">
        <v>0</v>
      </c>
      <c r="K39" s="181">
        <f t="shared" si="11"/>
        <v>30600</v>
      </c>
      <c r="L39" s="183"/>
    </row>
    <row r="40" spans="5:12" x14ac:dyDescent="0.2">
      <c r="E40">
        <v>100</v>
      </c>
      <c r="F40" s="33">
        <f t="shared" si="12"/>
        <v>8.3333333333333339</v>
      </c>
      <c r="G40" s="33">
        <v>100</v>
      </c>
      <c r="H40" s="33">
        <v>6.8</v>
      </c>
      <c r="I40" s="181">
        <f t="shared" si="13"/>
        <v>5666.666666666667</v>
      </c>
      <c r="J40" s="181">
        <v>0</v>
      </c>
      <c r="K40" s="181">
        <f t="shared" si="11"/>
        <v>5666.666666666667</v>
      </c>
      <c r="L40" s="183"/>
    </row>
    <row r="41" spans="5:12" x14ac:dyDescent="0.2">
      <c r="E41">
        <v>200</v>
      </c>
      <c r="F41" s="33">
        <f t="shared" si="12"/>
        <v>16.666666666666668</v>
      </c>
      <c r="G41" s="33">
        <v>600</v>
      </c>
      <c r="H41" s="33">
        <v>6.8</v>
      </c>
      <c r="I41" s="181">
        <f t="shared" si="13"/>
        <v>68000</v>
      </c>
      <c r="J41" s="181">
        <v>0</v>
      </c>
      <c r="K41" s="181">
        <f t="shared" si="11"/>
        <v>68000</v>
      </c>
      <c r="L41" s="183"/>
    </row>
    <row r="42" spans="5:12" x14ac:dyDescent="0.2">
      <c r="F42" s="33"/>
      <c r="G42" s="33"/>
      <c r="H42" s="33">
        <v>6.8</v>
      </c>
      <c r="I42" s="181"/>
      <c r="J42" s="181"/>
      <c r="K42" s="181"/>
      <c r="L42" s="183"/>
    </row>
    <row r="43" spans="5:12" x14ac:dyDescent="0.2">
      <c r="F43" s="33"/>
      <c r="G43" s="33"/>
      <c r="H43" s="33">
        <v>6.8</v>
      </c>
      <c r="I43" s="187">
        <f t="shared" ref="I43:J43" si="14">SUM(I33:I42)</f>
        <v>196690</v>
      </c>
      <c r="J43" s="181">
        <f t="shared" si="14"/>
        <v>0</v>
      </c>
      <c r="K43" s="187">
        <f>SUM(K33:K42)</f>
        <v>196690</v>
      </c>
      <c r="L43" s="183"/>
    </row>
    <row r="44" spans="5:12" x14ac:dyDescent="0.2">
      <c r="F44" s="33"/>
      <c r="G44" s="33"/>
      <c r="H44" s="33">
        <v>6.8</v>
      </c>
      <c r="I44" s="181"/>
      <c r="J44" s="181"/>
      <c r="K44" s="181"/>
      <c r="L44" s="183"/>
    </row>
    <row r="45" spans="5:12" x14ac:dyDescent="0.2">
      <c r="E45">
        <v>75</v>
      </c>
      <c r="F45" s="33">
        <f>E45/12</f>
        <v>6.25</v>
      </c>
      <c r="G45">
        <v>350</v>
      </c>
      <c r="H45" s="33">
        <v>6.8</v>
      </c>
      <c r="I45" s="181">
        <f>F45*G45*H45</f>
        <v>14875</v>
      </c>
      <c r="J45" s="181">
        <v>0</v>
      </c>
      <c r="K45" s="181">
        <f t="shared" ref="K45:K53" si="15">I45-J45</f>
        <v>14875</v>
      </c>
      <c r="L45" s="183"/>
    </row>
    <row r="46" spans="5:12" x14ac:dyDescent="0.2">
      <c r="E46">
        <v>50</v>
      </c>
      <c r="F46" s="33">
        <f t="shared" ref="F46:F53" si="16">E46/12</f>
        <v>4.166666666666667</v>
      </c>
      <c r="G46">
        <v>500</v>
      </c>
      <c r="H46" s="33">
        <v>6.8</v>
      </c>
      <c r="I46" s="181">
        <f t="shared" ref="I46:I53" si="17">F46*G46*H46</f>
        <v>14166.666666666668</v>
      </c>
      <c r="J46" s="181">
        <v>0</v>
      </c>
      <c r="K46" s="181">
        <f t="shared" si="15"/>
        <v>14166.666666666668</v>
      </c>
      <c r="L46" s="183"/>
    </row>
    <row r="47" spans="5:12" x14ac:dyDescent="0.2">
      <c r="E47">
        <v>15</v>
      </c>
      <c r="F47" s="33">
        <f t="shared" si="16"/>
        <v>1.25</v>
      </c>
      <c r="G47">
        <v>550</v>
      </c>
      <c r="H47" s="33">
        <v>6.8</v>
      </c>
      <c r="I47" s="181">
        <f t="shared" si="17"/>
        <v>4675</v>
      </c>
      <c r="J47" s="181">
        <v>0</v>
      </c>
      <c r="K47" s="181">
        <f t="shared" si="15"/>
        <v>4675</v>
      </c>
      <c r="L47" s="183"/>
    </row>
    <row r="48" spans="5:12" x14ac:dyDescent="0.2">
      <c r="E48">
        <v>150</v>
      </c>
      <c r="F48" s="33">
        <f t="shared" si="16"/>
        <v>12.5</v>
      </c>
      <c r="G48">
        <v>150</v>
      </c>
      <c r="H48" s="33">
        <v>6.8</v>
      </c>
      <c r="I48" s="181">
        <f t="shared" si="17"/>
        <v>12750</v>
      </c>
      <c r="J48" s="181">
        <v>0</v>
      </c>
      <c r="K48" s="181">
        <f t="shared" si="15"/>
        <v>12750</v>
      </c>
      <c r="L48" s="183"/>
    </row>
    <row r="49" spans="5:12" x14ac:dyDescent="0.2">
      <c r="E49">
        <v>60</v>
      </c>
      <c r="F49" s="33">
        <f t="shared" si="16"/>
        <v>5</v>
      </c>
      <c r="G49">
        <v>280</v>
      </c>
      <c r="H49" s="33">
        <v>6.8</v>
      </c>
      <c r="I49" s="181">
        <f t="shared" si="17"/>
        <v>9520</v>
      </c>
      <c r="J49" s="181">
        <v>0</v>
      </c>
      <c r="K49" s="181">
        <f t="shared" si="15"/>
        <v>9520</v>
      </c>
      <c r="L49" s="183"/>
    </row>
    <row r="50" spans="5:12" x14ac:dyDescent="0.2">
      <c r="E50">
        <v>60</v>
      </c>
      <c r="F50" s="33">
        <f t="shared" si="16"/>
        <v>5</v>
      </c>
      <c r="G50">
        <v>50</v>
      </c>
      <c r="H50" s="33">
        <v>6.8</v>
      </c>
      <c r="I50" s="181">
        <f t="shared" si="17"/>
        <v>1700</v>
      </c>
      <c r="J50" s="181">
        <v>0</v>
      </c>
      <c r="K50" s="181">
        <f t="shared" si="15"/>
        <v>1700</v>
      </c>
      <c r="L50" s="183"/>
    </row>
    <row r="51" spans="5:12" x14ac:dyDescent="0.2">
      <c r="E51">
        <v>60</v>
      </c>
      <c r="F51" s="33">
        <f t="shared" si="16"/>
        <v>5</v>
      </c>
      <c r="G51">
        <v>750</v>
      </c>
      <c r="H51" s="33">
        <v>6.8</v>
      </c>
      <c r="I51" s="181">
        <f t="shared" si="17"/>
        <v>25500</v>
      </c>
      <c r="J51" s="181">
        <v>0</v>
      </c>
      <c r="K51" s="181">
        <f t="shared" si="15"/>
        <v>25500</v>
      </c>
      <c r="L51" s="183"/>
    </row>
    <row r="52" spans="5:12" x14ac:dyDescent="0.2">
      <c r="E52">
        <v>50</v>
      </c>
      <c r="F52" s="33">
        <f t="shared" si="16"/>
        <v>4.166666666666667</v>
      </c>
      <c r="G52">
        <v>100</v>
      </c>
      <c r="H52" s="33">
        <v>6.8</v>
      </c>
      <c r="I52" s="181">
        <f t="shared" si="17"/>
        <v>2833.3333333333335</v>
      </c>
      <c r="J52" s="181">
        <v>0</v>
      </c>
      <c r="K52" s="181">
        <f t="shared" si="15"/>
        <v>2833.3333333333335</v>
      </c>
      <c r="L52" s="183"/>
    </row>
    <row r="53" spans="5:12" x14ac:dyDescent="0.2">
      <c r="E53">
        <v>100</v>
      </c>
      <c r="F53" s="33">
        <f t="shared" si="16"/>
        <v>8.3333333333333339</v>
      </c>
      <c r="G53">
        <v>600</v>
      </c>
      <c r="H53" s="33">
        <v>6.8</v>
      </c>
      <c r="I53" s="181">
        <f t="shared" si="17"/>
        <v>34000</v>
      </c>
      <c r="J53" s="181">
        <v>0</v>
      </c>
      <c r="K53" s="181">
        <f t="shared" si="15"/>
        <v>34000</v>
      </c>
      <c r="L53" s="183"/>
    </row>
    <row r="54" spans="5:12" x14ac:dyDescent="0.2">
      <c r="F54" s="33"/>
      <c r="G54" s="33"/>
      <c r="H54" s="33"/>
      <c r="I54" s="181"/>
      <c r="J54" s="181"/>
      <c r="K54" s="181"/>
      <c r="L54" s="183"/>
    </row>
    <row r="55" spans="5:12" x14ac:dyDescent="0.2">
      <c r="F55" s="33"/>
      <c r="G55" s="33"/>
      <c r="H55" s="33"/>
      <c r="I55" s="187">
        <f t="shared" ref="I55:J55" si="18">SUM(I45:I54)</f>
        <v>120020</v>
      </c>
      <c r="J55" s="181">
        <f t="shared" si="18"/>
        <v>0</v>
      </c>
      <c r="K55" s="187">
        <f>SUM(K45:K54)</f>
        <v>120020</v>
      </c>
      <c r="L55" s="183"/>
    </row>
    <row r="56" spans="5:12" x14ac:dyDescent="0.2">
      <c r="F56" s="33"/>
      <c r="G56" s="33"/>
      <c r="H56" s="33"/>
      <c r="I56" s="181"/>
      <c r="J56" s="181"/>
      <c r="K56" s="181"/>
      <c r="L56" s="183"/>
    </row>
    <row r="57" spans="5:12" x14ac:dyDescent="0.2">
      <c r="F57" s="33"/>
      <c r="G57" s="33"/>
      <c r="H57" s="33"/>
      <c r="I57" s="181"/>
      <c r="J57" s="181"/>
      <c r="K57" s="181"/>
      <c r="L57" s="183"/>
    </row>
    <row r="58" spans="5:12" x14ac:dyDescent="0.2">
      <c r="E58" s="180"/>
      <c r="F58" s="33"/>
      <c r="G58" s="33"/>
      <c r="H58" s="33"/>
      <c r="I58" s="181"/>
      <c r="J58" s="181"/>
      <c r="K58" s="181"/>
      <c r="L58" s="183"/>
    </row>
    <row r="59" spans="5:12" x14ac:dyDescent="0.2">
      <c r="E59" s="180"/>
      <c r="F59" s="33"/>
      <c r="G59" s="33"/>
      <c r="H59" s="33"/>
      <c r="I59" s="181"/>
      <c r="J59" s="181"/>
      <c r="K59" s="181"/>
      <c r="L59" s="183"/>
    </row>
    <row r="60" spans="5:12" ht="13.5" thickBot="1" x14ac:dyDescent="0.25">
      <c r="E60" s="184"/>
      <c r="F60" s="185"/>
      <c r="G60" s="185"/>
      <c r="H60" s="185"/>
      <c r="I60" s="185"/>
      <c r="J60" s="185"/>
      <c r="K60" s="185"/>
      <c r="L60" s="186"/>
    </row>
    <row r="62" spans="5:12" x14ac:dyDescent="0.2">
      <c r="I62" s="169">
        <f>SUM(I24+I31+I43+I55)</f>
        <v>2914876.666666667</v>
      </c>
      <c r="J62" s="169">
        <f>SUM(J24+J31+J43+J55)</f>
        <v>389725</v>
      </c>
      <c r="K62" s="169">
        <f>SUM(K24+K31+K43+K55)</f>
        <v>2525151.666666667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workbookViewId="0">
      <selection activeCell="H20" sqref="H20"/>
    </sheetView>
  </sheetViews>
  <sheetFormatPr defaultRowHeight="12.75" x14ac:dyDescent="0.2"/>
  <cols>
    <col min="1" max="1" width="3.140625" customWidth="1"/>
  </cols>
  <sheetData>
    <row r="4" spans="2:5" x14ac:dyDescent="0.2">
      <c r="B4" s="253" t="s">
        <v>112</v>
      </c>
      <c r="E4" s="253" t="s">
        <v>116</v>
      </c>
    </row>
    <row r="6" spans="2:5" x14ac:dyDescent="0.2">
      <c r="B6" t="s">
        <v>113</v>
      </c>
      <c r="E6" t="s">
        <v>120</v>
      </c>
    </row>
    <row r="8" spans="2:5" x14ac:dyDescent="0.2">
      <c r="B8" t="s">
        <v>114</v>
      </c>
      <c r="E8" t="s">
        <v>121</v>
      </c>
    </row>
    <row r="10" spans="2:5" x14ac:dyDescent="0.2">
      <c r="B10" t="s">
        <v>115</v>
      </c>
      <c r="E10" t="s">
        <v>122</v>
      </c>
    </row>
    <row r="14" spans="2:5" x14ac:dyDescent="0.2">
      <c r="B14" t="s">
        <v>117</v>
      </c>
      <c r="E14" t="s">
        <v>123</v>
      </c>
    </row>
    <row r="16" spans="2:5" x14ac:dyDescent="0.2">
      <c r="B16" t="s">
        <v>118</v>
      </c>
      <c r="E16" t="s">
        <v>119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23"/>
  <sheetViews>
    <sheetView workbookViewId="0">
      <selection activeCell="E11" sqref="E11"/>
    </sheetView>
  </sheetViews>
  <sheetFormatPr defaultRowHeight="12.75" x14ac:dyDescent="0.2"/>
  <cols>
    <col min="5" max="5" width="9.140625" customWidth="1"/>
  </cols>
  <sheetData>
    <row r="3" spans="3:15" x14ac:dyDescent="0.2">
      <c r="C3">
        <v>1000</v>
      </c>
      <c r="D3">
        <v>965000</v>
      </c>
      <c r="E3">
        <v>2625000</v>
      </c>
      <c r="G3">
        <v>770000</v>
      </c>
      <c r="H3">
        <v>1660000</v>
      </c>
      <c r="J3">
        <v>199000</v>
      </c>
      <c r="K3">
        <v>199000</v>
      </c>
      <c r="L3">
        <v>890000</v>
      </c>
      <c r="N3">
        <v>199000</v>
      </c>
      <c r="O3">
        <v>492000</v>
      </c>
    </row>
    <row r="8" spans="3:15" x14ac:dyDescent="0.2">
      <c r="E8">
        <f>350*7000</f>
        <v>2450000</v>
      </c>
      <c r="I8">
        <v>100</v>
      </c>
    </row>
    <row r="9" spans="3:15" x14ac:dyDescent="0.2">
      <c r="E9">
        <f>1720*7000</f>
        <v>12040000</v>
      </c>
      <c r="I9">
        <v>200</v>
      </c>
    </row>
    <row r="10" spans="3:15" x14ac:dyDescent="0.2">
      <c r="E10">
        <f>SUM(E8:E9)</f>
        <v>14490000</v>
      </c>
      <c r="I10">
        <v>300</v>
      </c>
    </row>
    <row r="11" spans="3:15" x14ac:dyDescent="0.2">
      <c r="I11">
        <v>500</v>
      </c>
    </row>
    <row r="12" spans="3:15" x14ac:dyDescent="0.2">
      <c r="I12">
        <v>500</v>
      </c>
    </row>
    <row r="13" spans="3:15" x14ac:dyDescent="0.2">
      <c r="I13">
        <v>600</v>
      </c>
    </row>
    <row r="14" spans="3:15" x14ac:dyDescent="0.2">
      <c r="I14">
        <v>600</v>
      </c>
    </row>
    <row r="15" spans="3:15" x14ac:dyDescent="0.2">
      <c r="I15">
        <v>600</v>
      </c>
    </row>
    <row r="16" spans="3:15" x14ac:dyDescent="0.2">
      <c r="I16">
        <v>600</v>
      </c>
    </row>
    <row r="17" spans="9:9" x14ac:dyDescent="0.2">
      <c r="I17">
        <v>600</v>
      </c>
    </row>
    <row r="18" spans="9:9" x14ac:dyDescent="0.2">
      <c r="I18">
        <v>600</v>
      </c>
    </row>
    <row r="19" spans="9:9" x14ac:dyDescent="0.2">
      <c r="I19">
        <v>600</v>
      </c>
    </row>
    <row r="20" spans="9:9" x14ac:dyDescent="0.2">
      <c r="I20">
        <v>600</v>
      </c>
    </row>
    <row r="21" spans="9:9" x14ac:dyDescent="0.2">
      <c r="I21">
        <v>600</v>
      </c>
    </row>
    <row r="23" spans="9:9" x14ac:dyDescent="0.2">
      <c r="I23">
        <f>SUM(I8:I22)</f>
        <v>7000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view="pageBreakPreview" zoomScale="90" zoomScaleNormal="20" zoomScaleSheetLayoutView="90" workbookViewId="0">
      <selection activeCell="B23" sqref="B23:C23"/>
    </sheetView>
  </sheetViews>
  <sheetFormatPr defaultRowHeight="15.75" x14ac:dyDescent="0.25"/>
  <cols>
    <col min="1" max="1" width="4.7109375" style="1" customWidth="1"/>
    <col min="2" max="2" width="38.85546875" style="1" bestFit="1" customWidth="1"/>
    <col min="3" max="3" width="14.7109375" style="1" bestFit="1" customWidth="1"/>
    <col min="4" max="4" width="12.140625" style="1" bestFit="1" customWidth="1"/>
    <col min="5" max="5" width="13.85546875" style="1" bestFit="1" customWidth="1"/>
    <col min="6" max="6" width="10" style="1" bestFit="1" customWidth="1"/>
    <col min="7" max="7" width="16.85546875" style="1" bestFit="1" customWidth="1"/>
    <col min="8" max="8" width="8.7109375" style="1" customWidth="1"/>
    <col min="9" max="9" width="9.5703125" style="1" bestFit="1" customWidth="1"/>
    <col min="10" max="10" width="10.85546875" style="1" bestFit="1" customWidth="1"/>
    <col min="11" max="11" width="16.28515625" style="1" bestFit="1" customWidth="1"/>
    <col min="12" max="12" width="8.7109375" style="1" customWidth="1"/>
    <col min="13" max="13" width="8.7109375" style="1" bestFit="1" customWidth="1"/>
    <col min="14" max="14" width="16.85546875" style="1" bestFit="1" customWidth="1"/>
    <col min="15" max="15" width="4.42578125" style="1" customWidth="1"/>
    <col min="16" max="16" width="6.42578125" style="1" bestFit="1" customWidth="1"/>
    <col min="17" max="17" width="16" style="1" bestFit="1" customWidth="1"/>
    <col min="18" max="18" width="15.7109375" style="1" bestFit="1" customWidth="1"/>
    <col min="19" max="19" width="6.42578125" style="1" customWidth="1"/>
    <col min="20" max="21" width="14.5703125" style="1" customWidth="1"/>
    <col min="22" max="22" width="6.42578125" style="1" bestFit="1" customWidth="1"/>
    <col min="23" max="23" width="12.7109375" style="1" bestFit="1" customWidth="1"/>
    <col min="24" max="24" width="12.7109375" style="1" customWidth="1"/>
    <col min="25" max="25" width="14.5703125" style="1" bestFit="1" customWidth="1"/>
    <col min="26" max="26" width="6.42578125" style="1" bestFit="1" customWidth="1"/>
    <col min="27" max="27" width="12.7109375" style="1" bestFit="1" customWidth="1"/>
    <col min="28" max="28" width="14.5703125" style="1" bestFit="1" customWidth="1"/>
    <col min="29" max="29" width="14.42578125" style="1" bestFit="1" customWidth="1"/>
    <col min="30" max="30" width="15.42578125" style="1" bestFit="1" customWidth="1"/>
    <col min="31" max="31" width="9.7109375" style="1" bestFit="1" customWidth="1"/>
    <col min="32" max="32" width="16.85546875" style="1" bestFit="1" customWidth="1"/>
    <col min="33" max="33" width="9.140625" style="1"/>
    <col min="34" max="34" width="10.42578125" style="1" bestFit="1" customWidth="1"/>
    <col min="35" max="35" width="31.140625" style="1" bestFit="1" customWidth="1"/>
    <col min="36" max="36" width="14.7109375" style="1" bestFit="1" customWidth="1"/>
    <col min="37" max="37" width="9.7109375" style="1" bestFit="1" customWidth="1"/>
    <col min="38" max="38" width="16.85546875" style="1" bestFit="1" customWidth="1"/>
    <col min="39" max="16384" width="9.140625" style="1"/>
  </cols>
  <sheetData>
    <row r="1" spans="1:38" x14ac:dyDescent="0.25">
      <c r="B1" s="39" t="s">
        <v>22</v>
      </c>
    </row>
    <row r="3" spans="1:38" x14ac:dyDescent="0.25">
      <c r="A3" s="11"/>
      <c r="B3" s="37" t="s">
        <v>20</v>
      </c>
      <c r="C3" s="12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AH3" s="11"/>
      <c r="AI3" s="11"/>
      <c r="AJ3" s="12"/>
      <c r="AK3" s="11"/>
      <c r="AL3" s="11"/>
    </row>
    <row r="4" spans="1:38" ht="16.5" thickBot="1" x14ac:dyDescent="0.3">
      <c r="A4" s="3"/>
      <c r="B4" s="3"/>
      <c r="C4" s="71"/>
      <c r="D4" s="72">
        <v>0.15</v>
      </c>
      <c r="E4" s="72"/>
      <c r="F4" s="72">
        <v>0.35</v>
      </c>
      <c r="G4" s="72"/>
      <c r="H4" s="72"/>
      <c r="I4" s="72">
        <v>0.1</v>
      </c>
      <c r="J4" s="72">
        <v>0.1</v>
      </c>
      <c r="K4" s="72"/>
      <c r="L4" s="72"/>
      <c r="M4" s="72">
        <v>0.1</v>
      </c>
      <c r="N4" s="3"/>
      <c r="P4" s="1">
        <v>2175</v>
      </c>
      <c r="R4" s="101" t="s">
        <v>77</v>
      </c>
      <c r="S4" s="1">
        <v>2175</v>
      </c>
      <c r="T4" s="101"/>
      <c r="U4" s="101" t="s">
        <v>102</v>
      </c>
      <c r="V4" s="1">
        <v>2175</v>
      </c>
      <c r="Y4" s="101" t="s">
        <v>66</v>
      </c>
      <c r="Z4" s="1">
        <v>2175</v>
      </c>
      <c r="AB4" s="128" t="s">
        <v>67</v>
      </c>
      <c r="AG4" s="11"/>
      <c r="AH4" s="12"/>
      <c r="AK4" s="19"/>
      <c r="AL4" s="19"/>
    </row>
    <row r="5" spans="1:38" x14ac:dyDescent="0.25">
      <c r="A5" s="25"/>
      <c r="B5" s="9" t="s">
        <v>6</v>
      </c>
      <c r="C5" s="43" t="s">
        <v>36</v>
      </c>
      <c r="D5" s="46" t="s">
        <v>42</v>
      </c>
      <c r="E5" s="47" t="s">
        <v>37</v>
      </c>
      <c r="F5" s="46" t="s">
        <v>42</v>
      </c>
      <c r="G5" s="47" t="s">
        <v>38</v>
      </c>
      <c r="H5" s="497" t="s">
        <v>130</v>
      </c>
      <c r="I5" s="46" t="s">
        <v>42</v>
      </c>
      <c r="J5" s="46" t="s">
        <v>103</v>
      </c>
      <c r="K5" s="47" t="s">
        <v>39</v>
      </c>
      <c r="L5" s="497" t="s">
        <v>130</v>
      </c>
      <c r="M5" s="46" t="s">
        <v>42</v>
      </c>
      <c r="N5" s="47" t="s">
        <v>40</v>
      </c>
      <c r="P5" s="115" t="s">
        <v>64</v>
      </c>
      <c r="Q5" s="135" t="s">
        <v>42</v>
      </c>
      <c r="R5" s="116" t="s">
        <v>65</v>
      </c>
      <c r="S5" s="115" t="s">
        <v>64</v>
      </c>
      <c r="T5" s="135" t="s">
        <v>42</v>
      </c>
      <c r="U5" s="116" t="s">
        <v>65</v>
      </c>
      <c r="V5" s="115" t="s">
        <v>64</v>
      </c>
      <c r="W5" s="229" t="s">
        <v>42</v>
      </c>
      <c r="X5" s="221" t="s">
        <v>103</v>
      </c>
      <c r="Y5" s="116" t="s">
        <v>65</v>
      </c>
      <c r="Z5" s="115" t="s">
        <v>64</v>
      </c>
      <c r="AA5" s="135" t="s">
        <v>42</v>
      </c>
      <c r="AB5" s="116" t="s">
        <v>65</v>
      </c>
    </row>
    <row r="6" spans="1:38" s="10" customFormat="1" x14ac:dyDescent="0.25">
      <c r="A6" s="73"/>
      <c r="B6" s="31" t="s">
        <v>10</v>
      </c>
      <c r="C6" s="65">
        <f>'for Dist.'!C6</f>
        <v>2880</v>
      </c>
      <c r="D6" s="69">
        <f>(C29)*D4+(C30+C32+C36)</f>
        <v>2427</v>
      </c>
      <c r="E6" s="74">
        <f>G6+F6</f>
        <v>1653</v>
      </c>
      <c r="F6" s="69">
        <f>(C29)*F4</f>
        <v>553</v>
      </c>
      <c r="G6" s="74">
        <v>1100</v>
      </c>
      <c r="H6" s="498">
        <v>-150</v>
      </c>
      <c r="I6" s="69">
        <f>(C29)*I4</f>
        <v>158</v>
      </c>
      <c r="J6" s="69">
        <f>G6*J4</f>
        <v>110</v>
      </c>
      <c r="K6" s="74">
        <f>G6+H6-I6-J6</f>
        <v>682</v>
      </c>
      <c r="L6" s="498">
        <v>-150</v>
      </c>
      <c r="M6" s="69">
        <f>(C29)*M4</f>
        <v>158</v>
      </c>
      <c r="N6" s="74">
        <f>K6+L6-M6</f>
        <v>374</v>
      </c>
      <c r="P6" s="127">
        <f>P4*0.4</f>
        <v>870</v>
      </c>
      <c r="Q6" s="124">
        <f>D6*P6</f>
        <v>2111490</v>
      </c>
      <c r="R6" s="113">
        <f>C6*P6</f>
        <v>2505600</v>
      </c>
      <c r="S6" s="127">
        <f>S4*0.4</f>
        <v>870</v>
      </c>
      <c r="T6" s="124">
        <f>F6*S6</f>
        <v>481110</v>
      </c>
      <c r="U6" s="113">
        <f>E6*S6</f>
        <v>1438110</v>
      </c>
      <c r="V6" s="127">
        <f>V4*0.4</f>
        <v>870</v>
      </c>
      <c r="W6" s="230">
        <f>I6*V6</f>
        <v>137460</v>
      </c>
      <c r="X6" s="236">
        <f>J6*V6</f>
        <v>95700</v>
      </c>
      <c r="Y6" s="113">
        <f>G6*V6</f>
        <v>957000</v>
      </c>
      <c r="Z6" s="117">
        <f>Z4*0.4</f>
        <v>870</v>
      </c>
      <c r="AA6" s="124">
        <f>M6*Z6</f>
        <v>137460</v>
      </c>
      <c r="AB6" s="113">
        <f>Z6*K6</f>
        <v>593340</v>
      </c>
      <c r="AC6" s="147" t="s">
        <v>104</v>
      </c>
    </row>
    <row r="7" spans="1:38" x14ac:dyDescent="0.25">
      <c r="A7" s="23"/>
      <c r="B7" s="209" t="s">
        <v>101</v>
      </c>
      <c r="C7" s="87" t="str">
        <f>'for Dist.'!C7</f>
        <v>Valued at 4,900</v>
      </c>
      <c r="D7" s="489">
        <f>C29*D4</f>
        <v>237</v>
      </c>
      <c r="E7" s="495"/>
      <c r="F7" s="54"/>
      <c r="G7" s="55"/>
      <c r="H7" s="218"/>
      <c r="I7" s="54"/>
      <c r="J7" s="54"/>
      <c r="K7" s="55"/>
      <c r="L7" s="218"/>
      <c r="M7" s="54"/>
      <c r="N7" s="55"/>
      <c r="P7" s="156"/>
      <c r="Q7" s="492">
        <f>D7*P6</f>
        <v>206190</v>
      </c>
      <c r="R7" s="496">
        <f>P6*2200</f>
        <v>1914000</v>
      </c>
      <c r="S7" s="156"/>
      <c r="T7" s="125"/>
      <c r="U7" s="111"/>
      <c r="V7" s="156"/>
      <c r="W7" s="231"/>
      <c r="X7" s="237"/>
      <c r="Y7" s="111"/>
      <c r="Z7" s="118"/>
      <c r="AA7" s="125"/>
      <c r="AB7" s="111"/>
    </row>
    <row r="8" spans="1:38" x14ac:dyDescent="0.25">
      <c r="A8" s="23"/>
      <c r="B8" s="20" t="s">
        <v>12</v>
      </c>
      <c r="C8" s="66" t="e">
        <f>'for Dist.'!#REF!</f>
        <v>#REF!</v>
      </c>
      <c r="D8" s="489">
        <f>C30</f>
        <v>200</v>
      </c>
      <c r="E8" s="55"/>
      <c r="F8" s="54"/>
      <c r="G8" s="55"/>
      <c r="H8" s="218"/>
      <c r="I8" s="54"/>
      <c r="J8" s="54"/>
      <c r="K8" s="55"/>
      <c r="L8" s="218"/>
      <c r="M8" s="54"/>
      <c r="N8" s="55"/>
      <c r="P8" s="118"/>
      <c r="Q8" s="492">
        <f>D8*P6</f>
        <v>174000</v>
      </c>
      <c r="R8" s="111"/>
      <c r="S8" s="118"/>
      <c r="T8" s="125"/>
      <c r="U8" s="111"/>
      <c r="V8" s="118"/>
      <c r="W8" s="231"/>
      <c r="X8" s="237"/>
      <c r="Y8" s="111"/>
      <c r="Z8" s="118"/>
      <c r="AA8" s="125"/>
      <c r="AB8" s="111"/>
    </row>
    <row r="9" spans="1:38" x14ac:dyDescent="0.25">
      <c r="A9" s="23"/>
      <c r="B9" s="20" t="s">
        <v>35</v>
      </c>
      <c r="C9" s="45"/>
      <c r="D9" s="490">
        <f>C32</f>
        <v>550</v>
      </c>
      <c r="E9" s="55"/>
      <c r="F9" s="54"/>
      <c r="G9" s="55"/>
      <c r="H9" s="218"/>
      <c r="I9" s="54"/>
      <c r="J9" s="54"/>
      <c r="K9" s="55"/>
      <c r="L9" s="218"/>
      <c r="M9" s="54"/>
      <c r="N9" s="55"/>
      <c r="P9" s="118"/>
      <c r="Q9" s="492">
        <f>D9*P6</f>
        <v>478500</v>
      </c>
      <c r="R9" s="111"/>
      <c r="S9" s="118"/>
      <c r="T9" s="125"/>
      <c r="U9" s="111"/>
      <c r="V9" s="118"/>
      <c r="W9" s="231"/>
      <c r="X9" s="237"/>
      <c r="Y9" s="111"/>
      <c r="Z9" s="118"/>
      <c r="AA9" s="125"/>
      <c r="AB9" s="111"/>
    </row>
    <row r="10" spans="1:38" x14ac:dyDescent="0.25">
      <c r="A10" s="7"/>
      <c r="B10" s="20" t="s">
        <v>54</v>
      </c>
      <c r="C10" s="45"/>
      <c r="D10" s="490">
        <f>C36</f>
        <v>1440</v>
      </c>
      <c r="E10" s="55"/>
      <c r="F10" s="54"/>
      <c r="G10" s="55"/>
      <c r="H10" s="218"/>
      <c r="I10" s="54"/>
      <c r="J10" s="54"/>
      <c r="K10" s="55"/>
      <c r="L10" s="218"/>
      <c r="M10" s="54"/>
      <c r="N10" s="55"/>
      <c r="P10" s="119"/>
      <c r="Q10" s="493">
        <f>D10*P6</f>
        <v>1252800</v>
      </c>
      <c r="R10" s="114"/>
      <c r="S10" s="119"/>
      <c r="T10" s="126"/>
      <c r="U10" s="114"/>
      <c r="V10" s="119"/>
      <c r="W10" s="232"/>
      <c r="X10" s="238"/>
      <c r="Y10" s="114"/>
      <c r="Z10" s="119"/>
      <c r="AA10" s="126"/>
      <c r="AB10" s="114"/>
    </row>
    <row r="11" spans="1:38" x14ac:dyDescent="0.25">
      <c r="A11" s="14"/>
      <c r="B11" s="30" t="s">
        <v>13</v>
      </c>
      <c r="C11" s="57" t="e">
        <f>'for Dist.'!#REF!</f>
        <v>#REF!</v>
      </c>
      <c r="D11" s="69">
        <f>(C29)*D4+(C30+C32)</f>
        <v>987</v>
      </c>
      <c r="E11" s="74">
        <f>G11+F11</f>
        <v>1653</v>
      </c>
      <c r="F11" s="69">
        <f>(C29)*F4</f>
        <v>553</v>
      </c>
      <c r="G11" s="74">
        <v>1100</v>
      </c>
      <c r="H11" s="498">
        <v>-100</v>
      </c>
      <c r="I11" s="69">
        <f>(C29)*I4</f>
        <v>158</v>
      </c>
      <c r="J11" s="69">
        <f>G11*J4</f>
        <v>110</v>
      </c>
      <c r="K11" s="74">
        <f>G11+H11-I11-J11</f>
        <v>732</v>
      </c>
      <c r="L11" s="498">
        <v>-100</v>
      </c>
      <c r="M11" s="69">
        <f>(C29)*M4</f>
        <v>158</v>
      </c>
      <c r="N11" s="74">
        <f>K11+L11-M11</f>
        <v>474</v>
      </c>
      <c r="P11" s="120">
        <f>P4*0.3</f>
        <v>652.5</v>
      </c>
      <c r="Q11" s="124">
        <f>D11*P11</f>
        <v>644017.5</v>
      </c>
      <c r="R11" s="113" t="e">
        <f>C11*P11</f>
        <v>#REF!</v>
      </c>
      <c r="S11" s="120">
        <f>S4*0.3</f>
        <v>652.5</v>
      </c>
      <c r="T11" s="124">
        <f>F11*S11</f>
        <v>360832.5</v>
      </c>
      <c r="U11" s="113">
        <f>E11*S11</f>
        <v>1078582.5</v>
      </c>
      <c r="V11" s="120">
        <f>V4*0.3</f>
        <v>652.5</v>
      </c>
      <c r="W11" s="230">
        <f>I11*V11</f>
        <v>103095</v>
      </c>
      <c r="X11" s="236">
        <f>J11*V11</f>
        <v>71775</v>
      </c>
      <c r="Y11" s="113">
        <f>G11*V11</f>
        <v>717750</v>
      </c>
      <c r="Z11" s="120">
        <f>Z4*0.3</f>
        <v>652.5</v>
      </c>
      <c r="AA11" s="124">
        <f>M11*Z11</f>
        <v>103095</v>
      </c>
      <c r="AB11" s="113">
        <f>Z11*K11</f>
        <v>477630</v>
      </c>
      <c r="AC11" s="147" t="s">
        <v>105</v>
      </c>
    </row>
    <row r="12" spans="1:38" x14ac:dyDescent="0.25">
      <c r="A12" s="23"/>
      <c r="B12" s="209" t="s">
        <v>101</v>
      </c>
      <c r="C12" s="87" t="e">
        <f>'for Dist.'!#REF!</f>
        <v>#REF!</v>
      </c>
      <c r="D12" s="489">
        <f>C29*D4</f>
        <v>237</v>
      </c>
      <c r="E12" s="55"/>
      <c r="F12" s="54"/>
      <c r="G12" s="55"/>
      <c r="H12" s="218"/>
      <c r="I12" s="54"/>
      <c r="J12" s="54"/>
      <c r="K12" s="55"/>
      <c r="L12" s="218"/>
      <c r="M12" s="54"/>
      <c r="N12" s="55"/>
      <c r="P12" s="118"/>
      <c r="Q12" s="492">
        <f>D12*P11</f>
        <v>154642.5</v>
      </c>
      <c r="R12" s="496">
        <f>P11*2200</f>
        <v>1435500</v>
      </c>
      <c r="S12" s="118"/>
      <c r="T12" s="125"/>
      <c r="U12" s="111"/>
      <c r="V12" s="118"/>
      <c r="W12" s="231"/>
      <c r="X12" s="237"/>
      <c r="Y12" s="111"/>
      <c r="Z12" s="118"/>
      <c r="AA12" s="125"/>
      <c r="AB12" s="111"/>
    </row>
    <row r="13" spans="1:38" x14ac:dyDescent="0.25">
      <c r="A13" s="23"/>
      <c r="B13" s="20" t="s">
        <v>12</v>
      </c>
      <c r="C13" s="66" t="e">
        <f>'for Dist.'!#REF!</f>
        <v>#REF!</v>
      </c>
      <c r="D13" s="489">
        <f>C30</f>
        <v>200</v>
      </c>
      <c r="E13" s="55"/>
      <c r="F13" s="54"/>
      <c r="G13" s="55"/>
      <c r="H13" s="218"/>
      <c r="I13" s="54"/>
      <c r="J13" s="54"/>
      <c r="K13" s="55"/>
      <c r="L13" s="218"/>
      <c r="M13" s="54"/>
      <c r="N13" s="55"/>
      <c r="P13" s="118"/>
      <c r="Q13" s="492">
        <f>D13*P11</f>
        <v>130500</v>
      </c>
      <c r="R13" s="111"/>
      <c r="S13" s="118"/>
      <c r="T13" s="125"/>
      <c r="U13" s="111"/>
      <c r="V13" s="118"/>
      <c r="W13" s="231"/>
      <c r="X13" s="237"/>
      <c r="Y13" s="111"/>
      <c r="Z13" s="118"/>
      <c r="AA13" s="125"/>
      <c r="AB13" s="111"/>
    </row>
    <row r="14" spans="1:38" x14ac:dyDescent="0.25">
      <c r="A14" s="7"/>
      <c r="B14" s="21" t="s">
        <v>35</v>
      </c>
      <c r="C14" s="67"/>
      <c r="D14" s="491">
        <f>C32</f>
        <v>550</v>
      </c>
      <c r="E14" s="76"/>
      <c r="F14" s="70"/>
      <c r="G14" s="76"/>
      <c r="H14" s="499"/>
      <c r="I14" s="70"/>
      <c r="J14" s="70"/>
      <c r="K14" s="76"/>
      <c r="L14" s="499"/>
      <c r="M14" s="70"/>
      <c r="N14" s="76"/>
      <c r="P14" s="119"/>
      <c r="Q14" s="493">
        <f>D14*P11</f>
        <v>358875</v>
      </c>
      <c r="R14" s="114"/>
      <c r="S14" s="119"/>
      <c r="T14" s="126"/>
      <c r="U14" s="114"/>
      <c r="V14" s="119"/>
      <c r="W14" s="232"/>
      <c r="X14" s="238"/>
      <c r="Y14" s="114"/>
      <c r="Z14" s="119"/>
      <c r="AA14" s="126"/>
      <c r="AB14" s="114"/>
    </row>
    <row r="15" spans="1:38" x14ac:dyDescent="0.25">
      <c r="A15" s="14"/>
      <c r="B15" s="30" t="s">
        <v>14</v>
      </c>
      <c r="C15" s="57">
        <f>'for Dist.'!C11</f>
        <v>2330</v>
      </c>
      <c r="D15" s="69">
        <f>(C29)*D4+C32</f>
        <v>787</v>
      </c>
      <c r="E15" s="74">
        <f>G15+F15</f>
        <v>1653</v>
      </c>
      <c r="F15" s="69">
        <f>(C29)*F4</f>
        <v>553</v>
      </c>
      <c r="G15" s="74">
        <v>1100</v>
      </c>
      <c r="H15" s="498">
        <v>-75</v>
      </c>
      <c r="I15" s="69">
        <f>(C29)*I4</f>
        <v>158</v>
      </c>
      <c r="J15" s="69">
        <f>G15*J4</f>
        <v>110</v>
      </c>
      <c r="K15" s="74">
        <f>G15+H15-I15-J15</f>
        <v>757</v>
      </c>
      <c r="L15" s="498">
        <v>-75</v>
      </c>
      <c r="M15" s="69">
        <f>(C29)*M4</f>
        <v>158</v>
      </c>
      <c r="N15" s="74">
        <f>K15+L15-M15</f>
        <v>524</v>
      </c>
      <c r="P15" s="118">
        <f>P4*0.2</f>
        <v>435</v>
      </c>
      <c r="Q15" s="124">
        <f>D15*P15</f>
        <v>342345</v>
      </c>
      <c r="R15" s="113">
        <f>C15*P15</f>
        <v>1013550</v>
      </c>
      <c r="S15" s="118">
        <f>S4*0.2</f>
        <v>435</v>
      </c>
      <c r="T15" s="124">
        <f>F15*S15</f>
        <v>240555</v>
      </c>
      <c r="U15" s="113">
        <f>E15*S15</f>
        <v>719055</v>
      </c>
      <c r="V15" s="118">
        <f>V4*0.2</f>
        <v>435</v>
      </c>
      <c r="W15" s="230">
        <f>I15*V15</f>
        <v>68730</v>
      </c>
      <c r="X15" s="236">
        <f>J15*V15</f>
        <v>47850</v>
      </c>
      <c r="Y15" s="113">
        <f>G15*V15</f>
        <v>478500</v>
      </c>
      <c r="Z15" s="118">
        <f>Z4*0.2</f>
        <v>435</v>
      </c>
      <c r="AA15" s="124">
        <f>M15*Z15</f>
        <v>68730</v>
      </c>
      <c r="AB15" s="113">
        <f>Z15*K15</f>
        <v>329295</v>
      </c>
      <c r="AC15" s="147" t="s">
        <v>106</v>
      </c>
    </row>
    <row r="16" spans="1:38" x14ac:dyDescent="0.25">
      <c r="A16" s="23"/>
      <c r="B16" s="20" t="s">
        <v>11</v>
      </c>
      <c r="C16" s="87" t="str">
        <f>'for Dist.'!C12</f>
        <v>Valued at 4,150</v>
      </c>
      <c r="D16" s="489">
        <f>C29*D4</f>
        <v>237</v>
      </c>
      <c r="E16" s="55"/>
      <c r="F16" s="54"/>
      <c r="G16" s="55"/>
      <c r="H16" s="218"/>
      <c r="I16" s="54"/>
      <c r="J16" s="54"/>
      <c r="K16" s="55"/>
      <c r="L16" s="218"/>
      <c r="M16" s="54"/>
      <c r="N16" s="55"/>
      <c r="P16" s="118"/>
      <c r="Q16" s="492">
        <f>D16*P15</f>
        <v>103095</v>
      </c>
      <c r="R16" s="496">
        <f>P15*2200</f>
        <v>957000</v>
      </c>
      <c r="S16" s="118"/>
      <c r="T16" s="125"/>
      <c r="U16" s="111"/>
      <c r="V16" s="118"/>
      <c r="W16" s="231"/>
      <c r="X16" s="237"/>
      <c r="Y16" s="111"/>
      <c r="Z16" s="118"/>
      <c r="AA16" s="125"/>
      <c r="AB16" s="111"/>
    </row>
    <row r="17" spans="1:32" x14ac:dyDescent="0.25">
      <c r="A17" s="7"/>
      <c r="B17" s="21" t="s">
        <v>35</v>
      </c>
      <c r="C17" s="66" t="str">
        <f>'for Dist.'!C14</f>
        <v xml:space="preserve">save 1,820 </v>
      </c>
      <c r="D17" s="489">
        <f>C32</f>
        <v>550</v>
      </c>
      <c r="E17" s="76"/>
      <c r="F17" s="70"/>
      <c r="G17" s="76"/>
      <c r="H17" s="499"/>
      <c r="I17" s="70"/>
      <c r="J17" s="70"/>
      <c r="K17" s="76"/>
      <c r="L17" s="499"/>
      <c r="M17" s="70"/>
      <c r="N17" s="76"/>
      <c r="P17" s="118"/>
      <c r="Q17" s="492">
        <f>D17*P15</f>
        <v>239250</v>
      </c>
      <c r="R17" s="111"/>
      <c r="S17" s="118"/>
      <c r="T17" s="125"/>
      <c r="U17" s="111"/>
      <c r="V17" s="118"/>
      <c r="W17" s="231"/>
      <c r="X17" s="237"/>
      <c r="Y17" s="111"/>
      <c r="Z17" s="118"/>
      <c r="AA17" s="125"/>
      <c r="AB17" s="111"/>
    </row>
    <row r="18" spans="1:32" x14ac:dyDescent="0.25">
      <c r="A18" s="14"/>
      <c r="B18" s="30" t="s">
        <v>23</v>
      </c>
      <c r="C18" s="57">
        <f>'for Dist.'!C15</f>
        <v>1580</v>
      </c>
      <c r="D18" s="61">
        <f>C18*D4</f>
        <v>237</v>
      </c>
      <c r="E18" s="74">
        <f>G18+F18</f>
        <v>1653</v>
      </c>
      <c r="F18" s="48">
        <f>C18*F4</f>
        <v>553</v>
      </c>
      <c r="G18" s="49">
        <v>1100</v>
      </c>
      <c r="H18" s="498">
        <v>0</v>
      </c>
      <c r="I18" s="48">
        <f>C18*I4</f>
        <v>158</v>
      </c>
      <c r="J18" s="69">
        <f>G18*J4</f>
        <v>110</v>
      </c>
      <c r="K18" s="74">
        <f>G18+H18-I18-J18</f>
        <v>832</v>
      </c>
      <c r="L18" s="498">
        <v>0</v>
      </c>
      <c r="M18" s="48">
        <f>C18*M4</f>
        <v>158</v>
      </c>
      <c r="N18" s="74">
        <f>K18+L18-M18</f>
        <v>674</v>
      </c>
      <c r="P18" s="195">
        <f>P4*0.1</f>
        <v>217.5</v>
      </c>
      <c r="Q18" s="124">
        <f>D18*P18</f>
        <v>51547.5</v>
      </c>
      <c r="R18" s="113">
        <f>C18*P18</f>
        <v>343650</v>
      </c>
      <c r="S18" s="195">
        <f>S4*0.1</f>
        <v>217.5</v>
      </c>
      <c r="T18" s="124">
        <f>F18*S18</f>
        <v>120277.5</v>
      </c>
      <c r="U18" s="113">
        <f>E18*S18</f>
        <v>359527.5</v>
      </c>
      <c r="V18" s="195">
        <f>V4*0.1</f>
        <v>217.5</v>
      </c>
      <c r="W18" s="233">
        <f>I18*V18</f>
        <v>34365</v>
      </c>
      <c r="X18" s="236">
        <f>J18*V18</f>
        <v>23925</v>
      </c>
      <c r="Y18" s="197">
        <f>G18*V18</f>
        <v>239250</v>
      </c>
      <c r="Z18" s="195">
        <f>Z4*0.1</f>
        <v>217.5</v>
      </c>
      <c r="AA18" s="196">
        <f>M18*Z18</f>
        <v>34365</v>
      </c>
      <c r="AB18" s="113">
        <f>Z18*K18</f>
        <v>180960</v>
      </c>
      <c r="AC18" s="198" t="s">
        <v>107</v>
      </c>
      <c r="AD18" s="194"/>
      <c r="AE18" s="194"/>
      <c r="AF18" s="194"/>
    </row>
    <row r="19" spans="1:32" x14ac:dyDescent="0.25">
      <c r="A19" s="23"/>
      <c r="B19" s="209" t="s">
        <v>101</v>
      </c>
      <c r="C19" s="66" t="str">
        <f>'for Dist.'!C16</f>
        <v>Valued at 3,400</v>
      </c>
      <c r="D19" s="54"/>
      <c r="E19" s="211"/>
      <c r="F19" s="212"/>
      <c r="G19" s="211"/>
      <c r="H19" s="500"/>
      <c r="I19" s="212"/>
      <c r="J19" s="212"/>
      <c r="K19" s="211"/>
      <c r="L19" s="500"/>
      <c r="M19" s="212"/>
      <c r="N19" s="211"/>
      <c r="P19" s="213"/>
      <c r="Q19" s="214"/>
      <c r="R19" s="496"/>
      <c r="S19" s="213"/>
      <c r="T19" s="214"/>
      <c r="U19" s="215"/>
      <c r="V19" s="213"/>
      <c r="W19" s="234"/>
      <c r="X19" s="239"/>
      <c r="Y19" s="215"/>
      <c r="Z19" s="213"/>
      <c r="AA19" s="214"/>
      <c r="AB19" s="215"/>
      <c r="AC19" s="194"/>
      <c r="AD19" s="194"/>
      <c r="AE19" s="194"/>
      <c r="AF19" s="194"/>
    </row>
    <row r="20" spans="1:32" ht="16.5" thickBot="1" x14ac:dyDescent="0.3">
      <c r="A20" s="7"/>
      <c r="B20" s="21"/>
      <c r="C20" s="77"/>
      <c r="D20" s="78"/>
      <c r="E20" s="79"/>
      <c r="F20" s="80"/>
      <c r="G20" s="79"/>
      <c r="H20" s="501"/>
      <c r="I20" s="80"/>
      <c r="J20" s="80"/>
      <c r="K20" s="79"/>
      <c r="L20" s="501"/>
      <c r="M20" s="80"/>
      <c r="N20" s="79"/>
      <c r="P20" s="205"/>
      <c r="Q20" s="206"/>
      <c r="R20" s="207"/>
      <c r="S20" s="205"/>
      <c r="T20" s="206"/>
      <c r="U20" s="207"/>
      <c r="V20" s="205"/>
      <c r="W20" s="235"/>
      <c r="X20" s="240"/>
      <c r="Y20" s="207"/>
      <c r="Z20" s="208"/>
      <c r="AA20" s="206"/>
      <c r="AB20" s="207"/>
    </row>
    <row r="21" spans="1:32" x14ac:dyDescent="0.25">
      <c r="A21" s="11"/>
      <c r="B21" s="20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32" x14ac:dyDescent="0.25">
      <c r="P22" s="123"/>
      <c r="Q22" s="123">
        <f>Q6+Q11+Q15+Q18</f>
        <v>3149400</v>
      </c>
      <c r="R22" s="123" t="e">
        <f>R6+R11+R15+R18</f>
        <v>#REF!</v>
      </c>
      <c r="S22" s="123"/>
      <c r="T22" s="123">
        <f>SUM(T6:T21)</f>
        <v>1202775</v>
      </c>
      <c r="U22" s="123">
        <f>SUM(U6:U21)</f>
        <v>3595275</v>
      </c>
      <c r="V22" s="123"/>
      <c r="W22" s="123">
        <f>SUM(W6:W21)</f>
        <v>343650</v>
      </c>
      <c r="X22" s="123">
        <f>SUM(X6:X21)</f>
        <v>239250</v>
      </c>
      <c r="Y22" s="123">
        <f>SUM(Y6:Y21)</f>
        <v>2392500</v>
      </c>
      <c r="Z22" s="123"/>
      <c r="AA22" s="123">
        <f>SUM(AA6:AA21)</f>
        <v>343650</v>
      </c>
      <c r="AB22" s="123">
        <f>SUM(AB6:AB21)</f>
        <v>1581225</v>
      </c>
    </row>
    <row r="23" spans="1:32" x14ac:dyDescent="0.25"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</row>
    <row r="24" spans="1:32" x14ac:dyDescent="0.25">
      <c r="P24" s="123"/>
      <c r="Q24" s="157" t="e">
        <f>Q22/R22</f>
        <v>#REF!</v>
      </c>
      <c r="T24" s="157">
        <f>T22/U22</f>
        <v>0.33454325468844526</v>
      </c>
      <c r="W24" s="157">
        <f>(W22+X22)/Y22</f>
        <v>0.24363636363636362</v>
      </c>
      <c r="X24" s="157"/>
      <c r="AA24" s="157">
        <f>AA22/AB22</f>
        <v>0.2173314993122421</v>
      </c>
      <c r="AB24" s="123"/>
    </row>
    <row r="25" spans="1:32" x14ac:dyDescent="0.25"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</row>
    <row r="26" spans="1:32" x14ac:dyDescent="0.25">
      <c r="B26" s="39" t="s">
        <v>46</v>
      </c>
    </row>
    <row r="27" spans="1:32" ht="16.5" thickBot="1" x14ac:dyDescent="0.3">
      <c r="A27" s="3"/>
      <c r="B27" s="3"/>
      <c r="C27" s="3"/>
      <c r="D27" s="42">
        <v>0.15</v>
      </c>
      <c r="E27" s="3"/>
      <c r="F27" s="42">
        <v>0.35</v>
      </c>
      <c r="G27" s="3"/>
      <c r="H27" s="42"/>
      <c r="I27" s="42">
        <v>0.1</v>
      </c>
      <c r="J27" s="42">
        <v>0.1</v>
      </c>
      <c r="K27" s="42"/>
      <c r="L27" s="42"/>
      <c r="M27" s="42">
        <v>0.1</v>
      </c>
      <c r="N27" s="3"/>
      <c r="R27" s="101" t="s">
        <v>77</v>
      </c>
      <c r="U27" s="101" t="s">
        <v>102</v>
      </c>
      <c r="Y27" s="101" t="s">
        <v>66</v>
      </c>
      <c r="AB27" s="128" t="s">
        <v>67</v>
      </c>
    </row>
    <row r="28" spans="1:32" s="3" customFormat="1" ht="15" x14ac:dyDescent="0.25">
      <c r="A28" s="9"/>
      <c r="B28" s="9" t="s">
        <v>6</v>
      </c>
      <c r="C28" s="43" t="s">
        <v>36</v>
      </c>
      <c r="D28" s="46" t="s">
        <v>42</v>
      </c>
      <c r="E28" s="47" t="s">
        <v>37</v>
      </c>
      <c r="F28" s="46" t="s">
        <v>42</v>
      </c>
      <c r="G28" s="47" t="s">
        <v>38</v>
      </c>
      <c r="H28" s="497"/>
      <c r="I28" s="46" t="s">
        <v>42</v>
      </c>
      <c r="J28" s="46" t="s">
        <v>103</v>
      </c>
      <c r="K28" s="47" t="s">
        <v>39</v>
      </c>
      <c r="L28" s="497"/>
      <c r="M28" s="68" t="s">
        <v>42</v>
      </c>
      <c r="N28" s="47" t="s">
        <v>40</v>
      </c>
      <c r="P28" s="115" t="s">
        <v>68</v>
      </c>
      <c r="Q28" s="135" t="s">
        <v>42</v>
      </c>
      <c r="R28" s="116" t="s">
        <v>65</v>
      </c>
      <c r="S28" s="115" t="s">
        <v>68</v>
      </c>
      <c r="T28" s="135" t="s">
        <v>42</v>
      </c>
      <c r="U28" s="116" t="s">
        <v>65</v>
      </c>
      <c r="V28" s="115" t="s">
        <v>68</v>
      </c>
      <c r="W28" s="229" t="s">
        <v>42</v>
      </c>
      <c r="X28" s="221" t="s">
        <v>103</v>
      </c>
      <c r="Y28" s="116" t="s">
        <v>65</v>
      </c>
      <c r="Z28" s="115" t="s">
        <v>76</v>
      </c>
      <c r="AA28" s="135" t="s">
        <v>42</v>
      </c>
      <c r="AB28" s="116" t="s">
        <v>65</v>
      </c>
    </row>
    <row r="29" spans="1:32" s="3" customFormat="1" x14ac:dyDescent="0.25">
      <c r="A29" s="7">
        <v>1</v>
      </c>
      <c r="B29" s="30" t="s">
        <v>41</v>
      </c>
      <c r="C29" s="57">
        <f>'for Dist.'!C15</f>
        <v>1580</v>
      </c>
      <c r="D29" s="61">
        <f>C29*D27</f>
        <v>237</v>
      </c>
      <c r="E29" s="49">
        <f>C29-D29</f>
        <v>1343</v>
      </c>
      <c r="F29" s="48">
        <f>C29*F27</f>
        <v>553</v>
      </c>
      <c r="G29" s="49">
        <f>E29-F29</f>
        <v>790</v>
      </c>
      <c r="H29" s="502"/>
      <c r="I29" s="48">
        <f>C29*I27</f>
        <v>158</v>
      </c>
      <c r="J29" s="48">
        <f>G29*J27</f>
        <v>79</v>
      </c>
      <c r="K29" s="49">
        <f>G29-I29-J29</f>
        <v>553</v>
      </c>
      <c r="L29" s="502"/>
      <c r="M29" s="81">
        <f>C29*M27</f>
        <v>158</v>
      </c>
      <c r="N29" s="49">
        <f>K29-M29</f>
        <v>395</v>
      </c>
      <c r="P29" s="127">
        <v>0</v>
      </c>
      <c r="Q29" s="124">
        <f>E29*P29</f>
        <v>0</v>
      </c>
      <c r="R29" s="113">
        <v>0</v>
      </c>
      <c r="S29" s="127">
        <v>0</v>
      </c>
      <c r="T29" s="124">
        <f>I29*S29</f>
        <v>0</v>
      </c>
      <c r="U29" s="113">
        <v>0</v>
      </c>
      <c r="V29" s="127">
        <v>0</v>
      </c>
      <c r="W29" s="230">
        <f>I29*V29</f>
        <v>0</v>
      </c>
      <c r="X29" s="236">
        <v>0</v>
      </c>
      <c r="Y29" s="113">
        <f>E29*V29</f>
        <v>0</v>
      </c>
      <c r="Z29" s="117">
        <v>0</v>
      </c>
      <c r="AA29" s="124">
        <v>0</v>
      </c>
      <c r="AB29" s="113">
        <f>Z29*N29</f>
        <v>0</v>
      </c>
    </row>
    <row r="30" spans="1:32" s="3" customFormat="1" x14ac:dyDescent="0.25">
      <c r="A30" s="7">
        <v>2</v>
      </c>
      <c r="B30" s="41" t="s">
        <v>0</v>
      </c>
      <c r="C30" s="58">
        <f>'for Dist.'!C24</f>
        <v>200</v>
      </c>
      <c r="D30" s="62">
        <v>200</v>
      </c>
      <c r="E30" s="51">
        <v>0</v>
      </c>
      <c r="F30" s="50" t="s">
        <v>43</v>
      </c>
      <c r="G30" s="51" t="s">
        <v>43</v>
      </c>
      <c r="H30" s="219"/>
      <c r="I30" s="50" t="s">
        <v>43</v>
      </c>
      <c r="J30" s="219"/>
      <c r="K30" s="51" t="s">
        <v>43</v>
      </c>
      <c r="L30" s="219"/>
      <c r="M30" s="82" t="s">
        <v>43</v>
      </c>
      <c r="N30" s="51" t="s">
        <v>43</v>
      </c>
      <c r="P30" s="137">
        <f>(P15+P18)*0.5</f>
        <v>326.25</v>
      </c>
      <c r="Q30" s="129">
        <f>D30*P30</f>
        <v>65250</v>
      </c>
      <c r="R30" s="129">
        <f>C30*P30</f>
        <v>65250</v>
      </c>
      <c r="S30" s="137" t="s">
        <v>43</v>
      </c>
      <c r="T30" s="129" t="s">
        <v>43</v>
      </c>
      <c r="U30" s="129" t="s">
        <v>43</v>
      </c>
      <c r="V30" s="137" t="s">
        <v>43</v>
      </c>
      <c r="W30" s="225" t="s">
        <v>43</v>
      </c>
      <c r="X30" s="248" t="s">
        <v>43</v>
      </c>
      <c r="Y30" s="245" t="s">
        <v>43</v>
      </c>
      <c r="Z30" s="137" t="s">
        <v>43</v>
      </c>
      <c r="AA30" s="129" t="s">
        <v>43</v>
      </c>
      <c r="AB30" s="138" t="s">
        <v>43</v>
      </c>
      <c r="AC30" s="147" t="s">
        <v>69</v>
      </c>
    </row>
    <row r="31" spans="1:32" s="3" customFormat="1" x14ac:dyDescent="0.25">
      <c r="A31" s="5">
        <v>3</v>
      </c>
      <c r="B31" s="41" t="s">
        <v>24</v>
      </c>
      <c r="C31" s="44">
        <f>'for Dist.'!C25</f>
        <v>500</v>
      </c>
      <c r="D31" s="61">
        <f>C31*D27</f>
        <v>75</v>
      </c>
      <c r="E31" s="49">
        <f>C31-D31</f>
        <v>425</v>
      </c>
      <c r="F31" s="48">
        <f>C31*F27</f>
        <v>175</v>
      </c>
      <c r="G31" s="49">
        <f>E31-F31</f>
        <v>250</v>
      </c>
      <c r="H31" s="502"/>
      <c r="I31" s="48">
        <f>C31*I27</f>
        <v>50</v>
      </c>
      <c r="J31" s="48">
        <f>C31*J27</f>
        <v>50</v>
      </c>
      <c r="K31" s="49">
        <f>G31-I31-J31</f>
        <v>150</v>
      </c>
      <c r="L31" s="502"/>
      <c r="M31" s="81">
        <f>C31*M27</f>
        <v>50</v>
      </c>
      <c r="N31" s="49">
        <f>K31-M31</f>
        <v>100</v>
      </c>
      <c r="P31" s="137">
        <f>0.1*P4</f>
        <v>217.5</v>
      </c>
      <c r="Q31" s="129">
        <f>D31*P31</f>
        <v>16312.5</v>
      </c>
      <c r="R31" s="129">
        <f>C31*P31</f>
        <v>108750</v>
      </c>
      <c r="S31" s="137">
        <f>0.1*S4</f>
        <v>217.5</v>
      </c>
      <c r="T31" s="129">
        <f>F31*P31</f>
        <v>38062.5</v>
      </c>
      <c r="U31" s="129">
        <f>E31*S31</f>
        <v>92437.5</v>
      </c>
      <c r="V31" s="137">
        <f>0.1*V4</f>
        <v>217.5</v>
      </c>
      <c r="W31" s="225">
        <f>I31*V31</f>
        <v>10875</v>
      </c>
      <c r="X31" s="248">
        <f>J31*V31</f>
        <v>10875</v>
      </c>
      <c r="Y31" s="245">
        <f>G31*V31</f>
        <v>54375</v>
      </c>
      <c r="Z31" s="137">
        <f>0.1*Z4</f>
        <v>217.5</v>
      </c>
      <c r="AA31" s="129">
        <f>M31*Z31</f>
        <v>10875</v>
      </c>
      <c r="AB31" s="148">
        <f>K31*Z31</f>
        <v>32625</v>
      </c>
      <c r="AC31" s="147" t="s">
        <v>107</v>
      </c>
    </row>
    <row r="32" spans="1:32" s="3" customFormat="1" x14ac:dyDescent="0.25">
      <c r="A32" s="24">
        <v>4</v>
      </c>
      <c r="B32" s="5" t="s">
        <v>55</v>
      </c>
      <c r="C32" s="59">
        <f>'for Dist.'!C27</f>
        <v>550</v>
      </c>
      <c r="D32" s="56">
        <v>350</v>
      </c>
      <c r="E32" s="51">
        <v>0</v>
      </c>
      <c r="F32" s="50" t="s">
        <v>43</v>
      </c>
      <c r="G32" s="51" t="s">
        <v>43</v>
      </c>
      <c r="H32" s="220"/>
      <c r="I32" s="50" t="s">
        <v>43</v>
      </c>
      <c r="J32" s="220" t="s">
        <v>43</v>
      </c>
      <c r="K32" s="51" t="s">
        <v>43</v>
      </c>
      <c r="L32" s="220"/>
      <c r="M32" s="82" t="s">
        <v>43</v>
      </c>
      <c r="N32" s="51" t="s">
        <v>43</v>
      </c>
      <c r="P32" s="137">
        <f>0.3*P18</f>
        <v>65.25</v>
      </c>
      <c r="Q32" s="129">
        <f>D32*P32</f>
        <v>22837.5</v>
      </c>
      <c r="R32" s="129">
        <f>C32*P32</f>
        <v>35887.5</v>
      </c>
      <c r="S32" s="137" t="s">
        <v>43</v>
      </c>
      <c r="T32" s="129" t="s">
        <v>43</v>
      </c>
      <c r="U32" s="129" t="s">
        <v>43</v>
      </c>
      <c r="V32" s="137" t="s">
        <v>43</v>
      </c>
      <c r="W32" s="225" t="s">
        <v>43</v>
      </c>
      <c r="X32" s="248" t="s">
        <v>43</v>
      </c>
      <c r="Y32" s="172" t="s">
        <v>43</v>
      </c>
      <c r="Z32" s="137" t="s">
        <v>43</v>
      </c>
      <c r="AA32" s="129" t="s">
        <v>43</v>
      </c>
      <c r="AB32" s="148" t="s">
        <v>43</v>
      </c>
      <c r="AC32" s="147" t="s">
        <v>71</v>
      </c>
    </row>
    <row r="33" spans="1:35" s="3" customFormat="1" x14ac:dyDescent="0.25">
      <c r="A33" s="24">
        <v>5</v>
      </c>
      <c r="B33" s="98" t="s">
        <v>58</v>
      </c>
      <c r="C33" s="59">
        <v>150</v>
      </c>
      <c r="D33" s="100" t="s">
        <v>43</v>
      </c>
      <c r="E33" s="99" t="s">
        <v>43</v>
      </c>
      <c r="F33" s="100" t="s">
        <v>43</v>
      </c>
      <c r="G33" s="99" t="s">
        <v>43</v>
      </c>
      <c r="H33" s="220"/>
      <c r="I33" s="50">
        <v>150</v>
      </c>
      <c r="J33" s="220" t="s">
        <v>43</v>
      </c>
      <c r="K33" s="51">
        <v>0</v>
      </c>
      <c r="L33" s="220"/>
      <c r="M33" s="106" t="s">
        <v>43</v>
      </c>
      <c r="N33" s="99" t="s">
        <v>43</v>
      </c>
      <c r="P33" s="137" t="s">
        <v>43</v>
      </c>
      <c r="Q33" s="129" t="s">
        <v>43</v>
      </c>
      <c r="R33" s="129" t="s">
        <v>43</v>
      </c>
      <c r="S33" s="137" t="s">
        <v>43</v>
      </c>
      <c r="T33" s="129" t="s">
        <v>43</v>
      </c>
      <c r="U33" s="129" t="s">
        <v>43</v>
      </c>
      <c r="V33" s="137">
        <f>V6*0.2</f>
        <v>174</v>
      </c>
      <c r="W33" s="225">
        <f>I33*V33</f>
        <v>26100</v>
      </c>
      <c r="X33" s="248" t="s">
        <v>43</v>
      </c>
      <c r="Y33" s="245">
        <f>C33*V33</f>
        <v>26100</v>
      </c>
      <c r="Z33" s="137" t="s">
        <v>43</v>
      </c>
      <c r="AA33" s="129" t="s">
        <v>43</v>
      </c>
      <c r="AB33" s="148" t="s">
        <v>43</v>
      </c>
      <c r="AC33" s="147" t="s">
        <v>106</v>
      </c>
    </row>
    <row r="34" spans="1:35" s="3" customFormat="1" x14ac:dyDescent="0.25">
      <c r="A34" s="14">
        <v>6</v>
      </c>
      <c r="B34" s="5" t="s">
        <v>8</v>
      </c>
      <c r="C34" s="59">
        <f>'for Dist.'!C28</f>
        <v>280</v>
      </c>
      <c r="D34" s="56">
        <v>180</v>
      </c>
      <c r="E34" s="51">
        <v>0</v>
      </c>
      <c r="F34" s="50" t="s">
        <v>43</v>
      </c>
      <c r="G34" s="51" t="s">
        <v>43</v>
      </c>
      <c r="H34" s="220"/>
      <c r="I34" s="50" t="s">
        <v>43</v>
      </c>
      <c r="J34" s="220" t="s">
        <v>43</v>
      </c>
      <c r="K34" s="51" t="s">
        <v>43</v>
      </c>
      <c r="L34" s="220"/>
      <c r="M34" s="82" t="s">
        <v>43</v>
      </c>
      <c r="N34" s="51" t="s">
        <v>43</v>
      </c>
      <c r="P34" s="140">
        <f>(P11+P15+P18)*0.2</f>
        <v>261</v>
      </c>
      <c r="Q34" s="129">
        <f>D34*P34</f>
        <v>46980</v>
      </c>
      <c r="R34" s="129">
        <f>C34*P34</f>
        <v>73080</v>
      </c>
      <c r="S34" s="137" t="s">
        <v>43</v>
      </c>
      <c r="T34" s="129" t="s">
        <v>43</v>
      </c>
      <c r="U34" s="129" t="s">
        <v>43</v>
      </c>
      <c r="V34" s="140" t="s">
        <v>43</v>
      </c>
      <c r="W34" s="226" t="s">
        <v>43</v>
      </c>
      <c r="X34" s="249" t="s">
        <v>43</v>
      </c>
      <c r="Y34" s="246" t="s">
        <v>43</v>
      </c>
      <c r="Z34" s="137" t="s">
        <v>43</v>
      </c>
      <c r="AA34" s="129" t="s">
        <v>43</v>
      </c>
      <c r="AB34" s="148" t="s">
        <v>43</v>
      </c>
      <c r="AC34" s="147" t="s">
        <v>70</v>
      </c>
    </row>
    <row r="35" spans="1:35" s="3" customFormat="1" x14ac:dyDescent="0.25">
      <c r="A35" s="24">
        <v>7</v>
      </c>
      <c r="B35" s="5" t="s">
        <v>26</v>
      </c>
      <c r="C35" s="60">
        <f>'for Dist.'!C29</f>
        <v>50</v>
      </c>
      <c r="D35" s="50">
        <v>50</v>
      </c>
      <c r="E35" s="51" t="s">
        <v>43</v>
      </c>
      <c r="F35" s="82" t="s">
        <v>43</v>
      </c>
      <c r="G35" s="107" t="s">
        <v>43</v>
      </c>
      <c r="H35" s="220"/>
      <c r="I35" s="100" t="s">
        <v>43</v>
      </c>
      <c r="J35" s="220" t="s">
        <v>43</v>
      </c>
      <c r="K35" s="99" t="s">
        <v>43</v>
      </c>
      <c r="L35" s="220"/>
      <c r="M35" s="106" t="s">
        <v>63</v>
      </c>
      <c r="N35" s="99" t="s">
        <v>63</v>
      </c>
      <c r="P35" s="140">
        <f>(P11+P15+P18)*0.2</f>
        <v>261</v>
      </c>
      <c r="Q35" s="129">
        <f>D35*P35</f>
        <v>13050</v>
      </c>
      <c r="R35" s="129">
        <f>C35*P35</f>
        <v>13050</v>
      </c>
      <c r="S35" s="137" t="s">
        <v>43</v>
      </c>
      <c r="T35" s="129" t="s">
        <v>43</v>
      </c>
      <c r="U35" s="129" t="s">
        <v>43</v>
      </c>
      <c r="V35" s="140" t="s">
        <v>43</v>
      </c>
      <c r="W35" s="227" t="s">
        <v>43</v>
      </c>
      <c r="X35" s="250" t="s">
        <v>43</v>
      </c>
      <c r="Y35" s="149" t="s">
        <v>43</v>
      </c>
      <c r="Z35" s="137" t="s">
        <v>43</v>
      </c>
      <c r="AA35" s="129" t="s">
        <v>43</v>
      </c>
      <c r="AB35" s="148" t="s">
        <v>43</v>
      </c>
      <c r="AC35" s="147" t="s">
        <v>70</v>
      </c>
    </row>
    <row r="36" spans="1:35" s="3" customFormat="1" x14ac:dyDescent="0.25">
      <c r="A36" s="24">
        <v>8</v>
      </c>
      <c r="B36" s="14" t="s">
        <v>9</v>
      </c>
      <c r="C36" s="57">
        <f>'for Dist.'!C30</f>
        <v>1440</v>
      </c>
      <c r="D36" s="61">
        <v>450</v>
      </c>
      <c r="E36" s="63">
        <v>0</v>
      </c>
      <c r="F36" s="52" t="s">
        <v>43</v>
      </c>
      <c r="G36" s="53" t="s">
        <v>43</v>
      </c>
      <c r="H36" s="243"/>
      <c r="I36" s="52" t="s">
        <v>43</v>
      </c>
      <c r="J36" s="243" t="s">
        <v>43</v>
      </c>
      <c r="K36" s="53" t="s">
        <v>43</v>
      </c>
      <c r="L36" s="243"/>
      <c r="M36" s="83" t="s">
        <v>43</v>
      </c>
      <c r="N36" s="53" t="s">
        <v>43</v>
      </c>
      <c r="P36" s="140">
        <f>(P11+P15+P18)*0.2</f>
        <v>261</v>
      </c>
      <c r="Q36" s="131">
        <f>D36*P36</f>
        <v>117450</v>
      </c>
      <c r="R36" s="149">
        <f>C36*P36</f>
        <v>375840</v>
      </c>
      <c r="S36" s="140" t="s">
        <v>43</v>
      </c>
      <c r="T36" s="131" t="s">
        <v>43</v>
      </c>
      <c r="U36" s="149" t="s">
        <v>43</v>
      </c>
      <c r="V36" s="140" t="s">
        <v>43</v>
      </c>
      <c r="W36" s="133" t="s">
        <v>43</v>
      </c>
      <c r="X36" s="250" t="s">
        <v>43</v>
      </c>
      <c r="Y36" s="149" t="s">
        <v>43</v>
      </c>
      <c r="Z36" s="140" t="s">
        <v>43</v>
      </c>
      <c r="AA36" s="133" t="s">
        <v>43</v>
      </c>
      <c r="AB36" s="141" t="s">
        <v>43</v>
      </c>
      <c r="AC36" s="147" t="s">
        <v>70</v>
      </c>
    </row>
    <row r="37" spans="1:35" s="3" customFormat="1" x14ac:dyDescent="0.25">
      <c r="A37" s="22"/>
      <c r="B37" s="23" t="s">
        <v>31</v>
      </c>
      <c r="C37" s="45"/>
      <c r="D37" s="54"/>
      <c r="E37" s="55"/>
      <c r="F37" s="54"/>
      <c r="G37" s="55"/>
      <c r="H37" s="218"/>
      <c r="I37" s="54"/>
      <c r="J37" s="218"/>
      <c r="K37" s="55"/>
      <c r="L37" s="218"/>
      <c r="M37" s="84"/>
      <c r="N37" s="55"/>
      <c r="P37" s="110"/>
      <c r="Q37" s="125"/>
      <c r="R37" s="150"/>
      <c r="S37" s="110"/>
      <c r="T37" s="125"/>
      <c r="U37" s="150"/>
      <c r="V37" s="110"/>
      <c r="W37" s="12"/>
      <c r="X37" s="237"/>
      <c r="Y37" s="150"/>
      <c r="Z37" s="110"/>
      <c r="AA37" s="12"/>
      <c r="AB37" s="111"/>
    </row>
    <row r="38" spans="1:35" s="3" customFormat="1" x14ac:dyDescent="0.25">
      <c r="A38" s="23"/>
      <c r="B38" s="23" t="s">
        <v>27</v>
      </c>
      <c r="C38" s="45"/>
      <c r="D38" s="54"/>
      <c r="E38" s="55"/>
      <c r="F38" s="54"/>
      <c r="G38" s="55"/>
      <c r="H38" s="218"/>
      <c r="I38" s="54"/>
      <c r="J38" s="218"/>
      <c r="K38" s="55"/>
      <c r="L38" s="218"/>
      <c r="M38" s="84"/>
      <c r="N38" s="55"/>
      <c r="P38" s="110"/>
      <c r="Q38" s="174"/>
      <c r="R38" s="151"/>
      <c r="S38" s="110"/>
      <c r="T38" s="174"/>
      <c r="U38" s="151"/>
      <c r="V38" s="110"/>
      <c r="W38" s="132"/>
      <c r="X38" s="251"/>
      <c r="Y38" s="151"/>
      <c r="Z38" s="110"/>
      <c r="AA38" s="132"/>
      <c r="AB38" s="109"/>
    </row>
    <row r="39" spans="1:35" s="3" customFormat="1" x14ac:dyDescent="0.25">
      <c r="A39" s="23"/>
      <c r="B39" s="23" t="s">
        <v>30</v>
      </c>
      <c r="C39" s="45"/>
      <c r="D39" s="54"/>
      <c r="E39" s="55"/>
      <c r="F39" s="54"/>
      <c r="G39" s="55"/>
      <c r="H39" s="218"/>
      <c r="I39" s="54"/>
      <c r="J39" s="218"/>
      <c r="K39" s="55"/>
      <c r="L39" s="218"/>
      <c r="M39" s="84"/>
      <c r="N39" s="55"/>
      <c r="P39" s="142"/>
      <c r="Q39" s="126"/>
      <c r="R39" s="152"/>
      <c r="S39" s="142"/>
      <c r="T39" s="126"/>
      <c r="U39" s="152"/>
      <c r="V39" s="142"/>
      <c r="W39" s="134"/>
      <c r="X39" s="238"/>
      <c r="Y39" s="152"/>
      <c r="Z39" s="142"/>
      <c r="AA39" s="134"/>
      <c r="AB39" s="114"/>
    </row>
    <row r="40" spans="1:35" s="3" customFormat="1" x14ac:dyDescent="0.25">
      <c r="A40" s="5">
        <v>9</v>
      </c>
      <c r="B40" s="5" t="s">
        <v>32</v>
      </c>
      <c r="C40" s="59">
        <f>'for Dist.'!C34</f>
        <v>1050</v>
      </c>
      <c r="D40" s="56">
        <f>C40*D27</f>
        <v>157.5</v>
      </c>
      <c r="E40" s="49">
        <f>C40-D40</f>
        <v>892.5</v>
      </c>
      <c r="F40" s="56">
        <f>C40*F27</f>
        <v>367.5</v>
      </c>
      <c r="G40" s="49">
        <f>E40-F40</f>
        <v>525</v>
      </c>
      <c r="H40" s="503"/>
      <c r="I40" s="56">
        <f>C40*I27</f>
        <v>105</v>
      </c>
      <c r="J40" s="56">
        <f>G40*J27</f>
        <v>52.5</v>
      </c>
      <c r="K40" s="49">
        <f>G40-I40-J40</f>
        <v>367.5</v>
      </c>
      <c r="L40" s="503"/>
      <c r="M40" s="85">
        <f>C40*M27</f>
        <v>105</v>
      </c>
      <c r="N40" s="49">
        <f>K40-M40</f>
        <v>262.5</v>
      </c>
      <c r="P40" s="173" t="s">
        <v>43</v>
      </c>
      <c r="Q40" s="129" t="s">
        <v>43</v>
      </c>
      <c r="R40" s="172" t="s">
        <v>43</v>
      </c>
      <c r="S40" s="173" t="s">
        <v>43</v>
      </c>
      <c r="T40" s="129" t="s">
        <v>43</v>
      </c>
      <c r="U40" s="172" t="s">
        <v>43</v>
      </c>
      <c r="V40" s="137" t="s">
        <v>43</v>
      </c>
      <c r="W40" s="225" t="s">
        <v>43</v>
      </c>
      <c r="X40" s="248" t="s">
        <v>43</v>
      </c>
      <c r="Y40" s="172" t="s">
        <v>43</v>
      </c>
      <c r="Z40" s="137" t="s">
        <v>43</v>
      </c>
      <c r="AA40" s="129" t="s">
        <v>43</v>
      </c>
      <c r="AB40" s="138" t="s">
        <v>43</v>
      </c>
    </row>
    <row r="41" spans="1:35" s="3" customFormat="1" x14ac:dyDescent="0.25">
      <c r="A41" s="5">
        <v>10</v>
      </c>
      <c r="B41" s="14" t="s">
        <v>56</v>
      </c>
      <c r="C41" s="57">
        <f>'for Dist.'!C35</f>
        <v>100</v>
      </c>
      <c r="D41" s="61">
        <f>C41*D27</f>
        <v>15</v>
      </c>
      <c r="E41" s="49">
        <f>C41-D41</f>
        <v>85</v>
      </c>
      <c r="F41" s="61">
        <f>C41*F27</f>
        <v>35</v>
      </c>
      <c r="G41" s="49">
        <f>E41-F41</f>
        <v>50</v>
      </c>
      <c r="H41" s="503"/>
      <c r="I41" s="61">
        <f>C41*I27</f>
        <v>10</v>
      </c>
      <c r="J41" s="61">
        <f>G41*J27</f>
        <v>5</v>
      </c>
      <c r="K41" s="49">
        <f>G41-I41-J41</f>
        <v>35</v>
      </c>
      <c r="L41" s="503"/>
      <c r="M41" s="222">
        <f>C41*M27</f>
        <v>10</v>
      </c>
      <c r="N41" s="49">
        <f>K41-M41</f>
        <v>25</v>
      </c>
      <c r="P41" s="137">
        <f>0.1*P4</f>
        <v>217.5</v>
      </c>
      <c r="Q41" s="129">
        <f>D41*P41</f>
        <v>3262.5</v>
      </c>
      <c r="R41" s="129">
        <f>C41*P41</f>
        <v>21750</v>
      </c>
      <c r="S41" s="137">
        <f>0.1*S4</f>
        <v>217.5</v>
      </c>
      <c r="T41" s="129">
        <f>F41*P41</f>
        <v>7612.5</v>
      </c>
      <c r="U41" s="129">
        <f>E41*S41</f>
        <v>18487.5</v>
      </c>
      <c r="V41" s="137">
        <f>0.1*V4</f>
        <v>217.5</v>
      </c>
      <c r="W41" s="226">
        <f>I41*V41</f>
        <v>2175</v>
      </c>
      <c r="X41" s="226">
        <f>J41*V41</f>
        <v>1087.5</v>
      </c>
      <c r="Y41" s="245">
        <f>G41*V41</f>
        <v>10875</v>
      </c>
      <c r="Z41" s="137">
        <f>0.1*Z4</f>
        <v>217.5</v>
      </c>
      <c r="AA41" s="130">
        <f>M41*Z41</f>
        <v>2175</v>
      </c>
      <c r="AB41" s="139">
        <f>Z41*K41</f>
        <v>7612.5</v>
      </c>
      <c r="AC41" s="147" t="s">
        <v>107</v>
      </c>
    </row>
    <row r="42" spans="1:35" s="3" customFormat="1" x14ac:dyDescent="0.25">
      <c r="A42" s="5">
        <v>11</v>
      </c>
      <c r="B42" s="5" t="s">
        <v>45</v>
      </c>
      <c r="C42" s="59">
        <v>300</v>
      </c>
      <c r="D42" s="50" t="s">
        <v>43</v>
      </c>
      <c r="E42" s="86" t="s">
        <v>43</v>
      </c>
      <c r="F42" s="56">
        <v>300</v>
      </c>
      <c r="G42" s="86">
        <v>0</v>
      </c>
      <c r="H42" s="242"/>
      <c r="I42" s="56" t="s">
        <v>43</v>
      </c>
      <c r="J42" s="242" t="s">
        <v>43</v>
      </c>
      <c r="K42" s="86" t="s">
        <v>43</v>
      </c>
      <c r="L42" s="242"/>
      <c r="M42" s="85" t="s">
        <v>43</v>
      </c>
      <c r="N42" s="86" t="s">
        <v>43</v>
      </c>
      <c r="P42" s="173" t="s">
        <v>43</v>
      </c>
      <c r="Q42" s="129" t="s">
        <v>43</v>
      </c>
      <c r="R42" s="172" t="s">
        <v>43</v>
      </c>
      <c r="S42" s="137">
        <f>0.1*S4</f>
        <v>217.5</v>
      </c>
      <c r="T42" s="129">
        <f>F42*S42</f>
        <v>65250</v>
      </c>
      <c r="U42" s="172">
        <f>C42*S42</f>
        <v>65250</v>
      </c>
      <c r="V42" s="137" t="s">
        <v>43</v>
      </c>
      <c r="W42" s="225" t="s">
        <v>43</v>
      </c>
      <c r="X42" s="248" t="s">
        <v>43</v>
      </c>
      <c r="Y42" s="172" t="s">
        <v>43</v>
      </c>
      <c r="Z42" s="137" t="s">
        <v>43</v>
      </c>
      <c r="AA42" s="129" t="s">
        <v>43</v>
      </c>
      <c r="AB42" s="138" t="s">
        <v>43</v>
      </c>
      <c r="AC42" s="147" t="s">
        <v>107</v>
      </c>
    </row>
    <row r="43" spans="1:35" s="3" customFormat="1" x14ac:dyDescent="0.25">
      <c r="A43" s="5">
        <v>12</v>
      </c>
      <c r="B43" s="102" t="s">
        <v>62</v>
      </c>
      <c r="C43" s="57">
        <v>600</v>
      </c>
      <c r="D43" s="52" t="s">
        <v>43</v>
      </c>
      <c r="E43" s="49" t="s">
        <v>43</v>
      </c>
      <c r="F43" s="61" t="s">
        <v>43</v>
      </c>
      <c r="G43" s="49" t="s">
        <v>43</v>
      </c>
      <c r="H43" s="244"/>
      <c r="I43" s="61">
        <v>600</v>
      </c>
      <c r="J43" s="244" t="s">
        <v>43</v>
      </c>
      <c r="K43" s="49">
        <v>0</v>
      </c>
      <c r="L43" s="244"/>
      <c r="M43" s="223" t="s">
        <v>43</v>
      </c>
      <c r="N43" s="161" t="s">
        <v>43</v>
      </c>
      <c r="P43" s="173" t="s">
        <v>43</v>
      </c>
      <c r="Q43" s="129" t="s">
        <v>43</v>
      </c>
      <c r="R43" s="172" t="s">
        <v>43</v>
      </c>
      <c r="S43" s="173" t="s">
        <v>43</v>
      </c>
      <c r="T43" s="129" t="s">
        <v>43</v>
      </c>
      <c r="U43" s="172" t="s">
        <v>43</v>
      </c>
      <c r="V43" s="137">
        <f>0.1*V4</f>
        <v>217.5</v>
      </c>
      <c r="W43" s="225">
        <f>I43*V43</f>
        <v>130500</v>
      </c>
      <c r="X43" s="248" t="s">
        <v>43</v>
      </c>
      <c r="Y43" s="172">
        <f>C43*V43</f>
        <v>130500</v>
      </c>
      <c r="Z43" s="137" t="s">
        <v>43</v>
      </c>
      <c r="AA43" s="129" t="s">
        <v>43</v>
      </c>
      <c r="AB43" s="138" t="s">
        <v>43</v>
      </c>
      <c r="AC43" s="147" t="s">
        <v>107</v>
      </c>
      <c r="AD43" s="1"/>
      <c r="AE43" s="1"/>
      <c r="AF43" s="1"/>
      <c r="AG43" s="1"/>
      <c r="AH43" s="1"/>
      <c r="AI43" s="1"/>
    </row>
    <row r="44" spans="1:35" x14ac:dyDescent="0.25">
      <c r="A44" s="5">
        <v>13</v>
      </c>
      <c r="B44" s="5" t="s">
        <v>50</v>
      </c>
      <c r="C44" s="44" t="s">
        <v>43</v>
      </c>
      <c r="D44" s="50" t="s">
        <v>43</v>
      </c>
      <c r="E44" s="86" t="s">
        <v>52</v>
      </c>
      <c r="F44" s="50" t="s">
        <v>43</v>
      </c>
      <c r="G44" s="86" t="s">
        <v>53</v>
      </c>
      <c r="H44" s="220"/>
      <c r="I44" s="50" t="s">
        <v>43</v>
      </c>
      <c r="J44" s="220" t="s">
        <v>43</v>
      </c>
      <c r="K44" s="86" t="s">
        <v>43</v>
      </c>
      <c r="L44" s="220"/>
      <c r="M44" s="82" t="s">
        <v>43</v>
      </c>
      <c r="N44" s="86" t="s">
        <v>43</v>
      </c>
      <c r="P44" s="173" t="s">
        <v>43</v>
      </c>
      <c r="Q44" s="129" t="s">
        <v>43</v>
      </c>
      <c r="R44" s="172" t="s">
        <v>43</v>
      </c>
      <c r="S44" s="173" t="s">
        <v>43</v>
      </c>
      <c r="T44" s="129" t="s">
        <v>43</v>
      </c>
      <c r="U44" s="172" t="s">
        <v>43</v>
      </c>
      <c r="V44" s="137" t="s">
        <v>43</v>
      </c>
      <c r="W44" s="225" t="s">
        <v>43</v>
      </c>
      <c r="X44" s="248" t="s">
        <v>43</v>
      </c>
      <c r="Y44" s="172" t="s">
        <v>43</v>
      </c>
      <c r="Z44" s="137" t="s">
        <v>43</v>
      </c>
      <c r="AA44" s="129" t="s">
        <v>43</v>
      </c>
      <c r="AB44" s="138" t="s">
        <v>43</v>
      </c>
    </row>
    <row r="45" spans="1:35" ht="16.5" thickBot="1" x14ac:dyDescent="0.3">
      <c r="A45" s="5">
        <v>14</v>
      </c>
      <c r="B45" s="5" t="s">
        <v>51</v>
      </c>
      <c r="C45" s="92" t="s">
        <v>43</v>
      </c>
      <c r="D45" s="93" t="s">
        <v>43</v>
      </c>
      <c r="E45" s="94" t="s">
        <v>53</v>
      </c>
      <c r="F45" s="93" t="s">
        <v>43</v>
      </c>
      <c r="G45" s="94" t="s">
        <v>43</v>
      </c>
      <c r="H45" s="241"/>
      <c r="I45" s="93" t="s">
        <v>43</v>
      </c>
      <c r="J45" s="241" t="s">
        <v>43</v>
      </c>
      <c r="K45" s="94" t="s">
        <v>43</v>
      </c>
      <c r="L45" s="241"/>
      <c r="M45" s="95" t="s">
        <v>43</v>
      </c>
      <c r="N45" s="94" t="s">
        <v>43</v>
      </c>
      <c r="P45" s="143" t="s">
        <v>43</v>
      </c>
      <c r="Q45" s="144" t="s">
        <v>43</v>
      </c>
      <c r="R45" s="154" t="s">
        <v>43</v>
      </c>
      <c r="S45" s="143" t="s">
        <v>43</v>
      </c>
      <c r="T45" s="144" t="s">
        <v>43</v>
      </c>
      <c r="U45" s="154" t="s">
        <v>43</v>
      </c>
      <c r="V45" s="143" t="s">
        <v>43</v>
      </c>
      <c r="W45" s="228" t="s">
        <v>43</v>
      </c>
      <c r="X45" s="252" t="s">
        <v>43</v>
      </c>
      <c r="Y45" s="247" t="s">
        <v>43</v>
      </c>
      <c r="Z45" s="146" t="s">
        <v>43</v>
      </c>
      <c r="AA45" s="144" t="s">
        <v>43</v>
      </c>
      <c r="AB45" s="145" t="s">
        <v>43</v>
      </c>
    </row>
    <row r="46" spans="1:35" x14ac:dyDescent="0.25">
      <c r="B46" s="38" t="s">
        <v>33</v>
      </c>
      <c r="N46" s="11"/>
    </row>
    <row r="47" spans="1:35" x14ac:dyDescent="0.25">
      <c r="Q47" s="123">
        <f>SUM(Q29:Q45)</f>
        <v>285142.5</v>
      </c>
      <c r="R47" s="123">
        <f>SUM(R29:R45)</f>
        <v>693607.5</v>
      </c>
      <c r="T47" s="123">
        <f>SUM(T29:T45)</f>
        <v>110925</v>
      </c>
      <c r="U47" s="123">
        <f>SUM(U29:U45)</f>
        <v>176175</v>
      </c>
      <c r="V47" s="123"/>
      <c r="W47" s="123">
        <f>SUM(W29:W45)</f>
        <v>169650</v>
      </c>
      <c r="X47" s="123">
        <f>SUM(X29:X46)</f>
        <v>11962.5</v>
      </c>
      <c r="Y47" s="123">
        <f>SUM(Y29:Y45)</f>
        <v>221850</v>
      </c>
      <c r="Z47" s="123"/>
      <c r="AA47" s="123">
        <f>SUM(AA29:AA45)</f>
        <v>13050</v>
      </c>
      <c r="AB47" s="123">
        <f>SUM(AB29:AB45)</f>
        <v>40237.5</v>
      </c>
    </row>
    <row r="49" spans="1:30" x14ac:dyDescent="0.25">
      <c r="Q49" s="157">
        <f>Q47/R47</f>
        <v>0.41110065851364064</v>
      </c>
      <c r="T49" s="157">
        <f>T47/U47</f>
        <v>0.62962962962962965</v>
      </c>
      <c r="W49" s="157">
        <f>(W47+X47)/Y47</f>
        <v>0.81862745098039214</v>
      </c>
      <c r="X49" s="157"/>
      <c r="AA49" s="157">
        <f>AA47/AB47</f>
        <v>0.32432432432432434</v>
      </c>
    </row>
    <row r="51" spans="1:30" x14ac:dyDescent="0.25">
      <c r="A51" s="11"/>
      <c r="B51" s="37" t="s">
        <v>21</v>
      </c>
      <c r="C51" s="12"/>
      <c r="D51" s="12"/>
      <c r="E51" s="11"/>
      <c r="F51" s="11"/>
      <c r="G51" s="11"/>
      <c r="H51" s="11"/>
      <c r="I51" s="11"/>
      <c r="J51" s="11"/>
      <c r="L51" s="11"/>
    </row>
    <row r="52" spans="1:30" ht="16.5" thickBot="1" x14ac:dyDescent="0.3">
      <c r="D52" s="72">
        <v>0.15</v>
      </c>
      <c r="E52" s="72"/>
      <c r="F52" s="72">
        <v>0.35</v>
      </c>
      <c r="G52" s="72"/>
      <c r="H52" s="72"/>
      <c r="I52" s="72">
        <v>0.1</v>
      </c>
      <c r="J52" s="72">
        <v>0.1</v>
      </c>
      <c r="K52" s="72"/>
      <c r="L52" s="72"/>
      <c r="M52" s="72">
        <v>0.1</v>
      </c>
      <c r="N52" s="3"/>
      <c r="P52" s="1">
        <v>737</v>
      </c>
      <c r="R52" s="101" t="s">
        <v>77</v>
      </c>
      <c r="S52" s="1">
        <v>737</v>
      </c>
      <c r="U52" s="101" t="s">
        <v>102</v>
      </c>
      <c r="V52" s="1">
        <v>737</v>
      </c>
      <c r="Y52" s="101" t="s">
        <v>66</v>
      </c>
      <c r="Z52" s="1">
        <v>737</v>
      </c>
      <c r="AB52" s="128" t="s">
        <v>67</v>
      </c>
    </row>
    <row r="53" spans="1:30" x14ac:dyDescent="0.25">
      <c r="A53" s="26"/>
      <c r="B53" s="9" t="s">
        <v>6</v>
      </c>
      <c r="C53" s="25" t="s">
        <v>2</v>
      </c>
      <c r="D53" s="46" t="s">
        <v>42</v>
      </c>
      <c r="E53" s="47" t="s">
        <v>37</v>
      </c>
      <c r="F53" s="46" t="s">
        <v>42</v>
      </c>
      <c r="G53" s="47" t="s">
        <v>38</v>
      </c>
      <c r="H53" s="497"/>
      <c r="I53" s="46" t="s">
        <v>42</v>
      </c>
      <c r="J53" s="46" t="s">
        <v>103</v>
      </c>
      <c r="K53" s="47" t="s">
        <v>39</v>
      </c>
      <c r="L53" s="497"/>
      <c r="M53" s="46" t="s">
        <v>42</v>
      </c>
      <c r="N53" s="47" t="s">
        <v>40</v>
      </c>
      <c r="P53" s="115" t="s">
        <v>64</v>
      </c>
      <c r="Q53" s="135" t="s">
        <v>42</v>
      </c>
      <c r="R53" s="116" t="s">
        <v>65</v>
      </c>
      <c r="S53" s="115" t="s">
        <v>64</v>
      </c>
      <c r="T53" s="135" t="s">
        <v>42</v>
      </c>
      <c r="U53" s="116" t="s">
        <v>65</v>
      </c>
      <c r="V53" s="115" t="s">
        <v>64</v>
      </c>
      <c r="W53" s="135" t="s">
        <v>42</v>
      </c>
      <c r="X53" s="221" t="s">
        <v>103</v>
      </c>
      <c r="Y53" s="116" t="s">
        <v>65</v>
      </c>
      <c r="Z53" s="115" t="s">
        <v>64</v>
      </c>
      <c r="AA53" s="135" t="s">
        <v>42</v>
      </c>
      <c r="AB53" s="116" t="s">
        <v>65</v>
      </c>
    </row>
    <row r="54" spans="1:30" x14ac:dyDescent="0.25">
      <c r="A54" s="28"/>
      <c r="B54" s="31" t="s">
        <v>10</v>
      </c>
      <c r="C54" s="29">
        <f>'for Dist.'!I6</f>
        <v>5080</v>
      </c>
      <c r="D54" s="69">
        <f>(C76)*D52+(C77+550+C83)</f>
        <v>3762</v>
      </c>
      <c r="E54" s="74">
        <f>C54-D54</f>
        <v>1318</v>
      </c>
      <c r="F54" s="69">
        <f>(C76)*F52</f>
        <v>1428</v>
      </c>
      <c r="G54" s="74">
        <f>E54-F54</f>
        <v>-110</v>
      </c>
      <c r="H54" s="498"/>
      <c r="I54" s="69">
        <f>(C76-400)*I52</f>
        <v>368</v>
      </c>
      <c r="J54" s="69">
        <f>G54*J52</f>
        <v>-11</v>
      </c>
      <c r="K54" s="74">
        <f>G54-I54-J54</f>
        <v>-467</v>
      </c>
      <c r="L54" s="498"/>
      <c r="M54" s="69">
        <f>(C76-400)*M52</f>
        <v>368</v>
      </c>
      <c r="N54" s="74">
        <f>K54-M54</f>
        <v>-835</v>
      </c>
      <c r="P54" s="127">
        <f>P52*0.4</f>
        <v>294.8</v>
      </c>
      <c r="Q54" s="124">
        <f>D54*P54</f>
        <v>1109037.6000000001</v>
      </c>
      <c r="R54" s="113">
        <f>C54*P54</f>
        <v>1497584</v>
      </c>
      <c r="S54" s="127">
        <f>S52*0.4</f>
        <v>294.8</v>
      </c>
      <c r="T54" s="124">
        <f>F54*S54</f>
        <v>420974.4</v>
      </c>
      <c r="U54" s="113">
        <f>E54*S54</f>
        <v>388546.4</v>
      </c>
      <c r="V54" s="127">
        <f>V52*0.4</f>
        <v>294.8</v>
      </c>
      <c r="W54" s="124">
        <f>I54*V54</f>
        <v>108486.40000000001</v>
      </c>
      <c r="X54" s="236">
        <f>J54*V54</f>
        <v>-3242.8</v>
      </c>
      <c r="Y54" s="113">
        <f>G54*V54</f>
        <v>-32428</v>
      </c>
      <c r="Z54" s="117">
        <f>Z52*0.4</f>
        <v>294.8</v>
      </c>
      <c r="AA54" s="124">
        <f>M54*Z54</f>
        <v>108486.40000000001</v>
      </c>
      <c r="AB54" s="113">
        <f>Z54*K54</f>
        <v>-137671.6</v>
      </c>
      <c r="AC54" s="147" t="s">
        <v>108</v>
      </c>
      <c r="AD54" s="10"/>
    </row>
    <row r="55" spans="1:30" x14ac:dyDescent="0.25">
      <c r="A55" s="18"/>
      <c r="B55" s="20" t="s">
        <v>11</v>
      </c>
      <c r="C55" s="36" t="str">
        <f>'for Dist.'!I7</f>
        <v>Valued at 7,600</v>
      </c>
      <c r="D55" s="489">
        <f>C76*D52</f>
        <v>612</v>
      </c>
      <c r="E55" s="55"/>
      <c r="F55" s="54"/>
      <c r="G55" s="55"/>
      <c r="H55" s="218"/>
      <c r="I55" s="54"/>
      <c r="J55" s="54"/>
      <c r="K55" s="55"/>
      <c r="L55" s="218"/>
      <c r="M55" s="54"/>
      <c r="N55" s="55"/>
      <c r="P55" s="156"/>
      <c r="Q55" s="492">
        <f>D55*P54</f>
        <v>180417.6</v>
      </c>
      <c r="R55" s="496">
        <f>P54*3200</f>
        <v>943360</v>
      </c>
      <c r="S55" s="156"/>
      <c r="T55" s="125"/>
      <c r="U55" s="111"/>
      <c r="V55" s="118"/>
      <c r="W55" s="125"/>
      <c r="X55" s="237"/>
      <c r="Y55" s="111"/>
      <c r="Z55" s="118"/>
      <c r="AA55" s="125"/>
      <c r="AB55" s="111"/>
    </row>
    <row r="56" spans="1:30" x14ac:dyDescent="0.25">
      <c r="A56" s="18"/>
      <c r="B56" s="20" t="s">
        <v>12</v>
      </c>
      <c r="C56" s="36" t="e">
        <f>'for Dist.'!#REF!</f>
        <v>#REF!</v>
      </c>
      <c r="D56" s="489">
        <f>C77</f>
        <v>200</v>
      </c>
      <c r="E56" s="55"/>
      <c r="F56" s="54"/>
      <c r="G56" s="55"/>
      <c r="H56" s="218"/>
      <c r="I56" s="54"/>
      <c r="J56" s="54"/>
      <c r="K56" s="55"/>
      <c r="L56" s="218"/>
      <c r="M56" s="54"/>
      <c r="N56" s="55"/>
      <c r="P56" s="118"/>
      <c r="Q56" s="492">
        <f>D56*P54</f>
        <v>58960</v>
      </c>
      <c r="R56" s="111"/>
      <c r="S56" s="118"/>
      <c r="T56" s="125"/>
      <c r="U56" s="111"/>
      <c r="V56" s="118"/>
      <c r="W56" s="125"/>
      <c r="X56" s="237"/>
      <c r="Y56" s="111"/>
      <c r="Z56" s="118"/>
      <c r="AA56" s="125"/>
      <c r="AB56" s="111"/>
    </row>
    <row r="57" spans="1:30" x14ac:dyDescent="0.25">
      <c r="A57" s="18"/>
      <c r="B57" s="20" t="s">
        <v>34</v>
      </c>
      <c r="C57" s="36"/>
      <c r="D57" s="490">
        <f>C79</f>
        <v>750</v>
      </c>
      <c r="E57" s="55"/>
      <c r="F57" s="54"/>
      <c r="G57" s="55"/>
      <c r="H57" s="218"/>
      <c r="I57" s="54"/>
      <c r="J57" s="54"/>
      <c r="K57" s="55"/>
      <c r="L57" s="218"/>
      <c r="M57" s="54"/>
      <c r="N57" s="55"/>
      <c r="P57" s="118"/>
      <c r="Q57" s="492">
        <f>D57*P54</f>
        <v>221100</v>
      </c>
      <c r="R57" s="111"/>
      <c r="S57" s="118"/>
      <c r="T57" s="125"/>
      <c r="U57" s="111"/>
      <c r="V57" s="118"/>
      <c r="W57" s="125"/>
      <c r="X57" s="237"/>
      <c r="Y57" s="111"/>
      <c r="Z57" s="118"/>
      <c r="AA57" s="125"/>
      <c r="AB57" s="111"/>
    </row>
    <row r="58" spans="1:30" x14ac:dyDescent="0.25">
      <c r="A58" s="6"/>
      <c r="B58" s="20" t="s">
        <v>54</v>
      </c>
      <c r="C58" s="27"/>
      <c r="D58" s="490">
        <f>C83</f>
        <v>2400</v>
      </c>
      <c r="E58" s="55"/>
      <c r="F58" s="54"/>
      <c r="G58" s="55"/>
      <c r="H58" s="218"/>
      <c r="I58" s="54"/>
      <c r="J58" s="54"/>
      <c r="K58" s="55"/>
      <c r="L58" s="218"/>
      <c r="M58" s="54"/>
      <c r="N58" s="55"/>
      <c r="P58" s="119"/>
      <c r="Q58" s="493">
        <f>D58*P54</f>
        <v>707520</v>
      </c>
      <c r="R58" s="114"/>
      <c r="S58" s="119"/>
      <c r="T58" s="126"/>
      <c r="U58" s="114"/>
      <c r="V58" s="119"/>
      <c r="W58" s="126"/>
      <c r="X58" s="238"/>
      <c r="Y58" s="114"/>
      <c r="Z58" s="119"/>
      <c r="AA58" s="126"/>
      <c r="AB58" s="114"/>
    </row>
    <row r="59" spans="1:30" x14ac:dyDescent="0.25">
      <c r="A59" s="13"/>
      <c r="B59" s="30" t="s">
        <v>13</v>
      </c>
      <c r="C59" s="15" t="e">
        <f>'for Dist.'!#REF!</f>
        <v>#REF!</v>
      </c>
      <c r="D59" s="69">
        <f>(C76)*D52+(C77+550)</f>
        <v>1362</v>
      </c>
      <c r="E59" s="74" t="e">
        <f>C59-D59</f>
        <v>#REF!</v>
      </c>
      <c r="F59" s="69">
        <f>(C76)*F52</f>
        <v>1428</v>
      </c>
      <c r="G59" s="74" t="e">
        <f>E59-F59</f>
        <v>#REF!</v>
      </c>
      <c r="H59" s="498"/>
      <c r="I59" s="69">
        <f>(C76-300)*I52</f>
        <v>378</v>
      </c>
      <c r="J59" s="69" t="e">
        <f>G59*J52</f>
        <v>#REF!</v>
      </c>
      <c r="K59" s="74" t="e">
        <f>G59-I59-J59</f>
        <v>#REF!</v>
      </c>
      <c r="L59" s="498"/>
      <c r="M59" s="69">
        <f>(C76-300)*M52</f>
        <v>378</v>
      </c>
      <c r="N59" s="74" t="e">
        <f>K59-M59</f>
        <v>#REF!</v>
      </c>
      <c r="P59" s="120">
        <f>P52*0.3</f>
        <v>221.1</v>
      </c>
      <c r="Q59" s="124">
        <f>D59*P59</f>
        <v>301138.2</v>
      </c>
      <c r="R59" s="113" t="e">
        <f>C59*P59</f>
        <v>#REF!</v>
      </c>
      <c r="S59" s="120">
        <f>S52*0.3</f>
        <v>221.1</v>
      </c>
      <c r="T59" s="124">
        <f>F59*S59</f>
        <v>315730.8</v>
      </c>
      <c r="U59" s="113" t="e">
        <f>E59*S59</f>
        <v>#REF!</v>
      </c>
      <c r="V59" s="120">
        <f>V52*0.3</f>
        <v>221.1</v>
      </c>
      <c r="W59" s="124">
        <f>I59*V59</f>
        <v>83575.8</v>
      </c>
      <c r="X59" s="236" t="e">
        <f>J59*V59</f>
        <v>#REF!</v>
      </c>
      <c r="Y59" s="113" t="e">
        <f>G59*V59</f>
        <v>#REF!</v>
      </c>
      <c r="Z59" s="120">
        <f>Z52*0.3</f>
        <v>221.1</v>
      </c>
      <c r="AA59" s="124">
        <f>M59*Z59</f>
        <v>83575.8</v>
      </c>
      <c r="AB59" s="113" t="e">
        <f>Z59*K59</f>
        <v>#REF!</v>
      </c>
      <c r="AC59" s="147" t="s">
        <v>109</v>
      </c>
    </row>
    <row r="60" spans="1:30" x14ac:dyDescent="0.25">
      <c r="A60" s="18"/>
      <c r="B60" s="20" t="s">
        <v>11</v>
      </c>
      <c r="C60" s="36" t="e">
        <f>'for Dist.'!#REF!</f>
        <v>#REF!</v>
      </c>
      <c r="D60" s="489">
        <f>C76*D52</f>
        <v>612</v>
      </c>
      <c r="E60" s="55"/>
      <c r="F60" s="54"/>
      <c r="G60" s="55"/>
      <c r="H60" s="218"/>
      <c r="I60" s="54"/>
      <c r="J60" s="54"/>
      <c r="K60" s="55"/>
      <c r="L60" s="218"/>
      <c r="M60" s="54"/>
      <c r="N60" s="55"/>
      <c r="P60" s="118"/>
      <c r="Q60" s="492">
        <f>D60*P59</f>
        <v>135313.19999999998</v>
      </c>
      <c r="R60" s="496">
        <f>P59*3200</f>
        <v>707520</v>
      </c>
      <c r="S60" s="118"/>
      <c r="T60" s="125"/>
      <c r="U60" s="111"/>
      <c r="V60" s="118"/>
      <c r="W60" s="125"/>
      <c r="X60" s="237"/>
      <c r="Y60" s="111"/>
      <c r="Z60" s="118"/>
      <c r="AA60" s="125"/>
      <c r="AB60" s="111"/>
    </row>
    <row r="61" spans="1:30" x14ac:dyDescent="0.25">
      <c r="A61" s="18"/>
      <c r="B61" s="20" t="s">
        <v>12</v>
      </c>
      <c r="C61" s="36" t="e">
        <f>'for Dist.'!#REF!</f>
        <v>#REF!</v>
      </c>
      <c r="D61" s="489">
        <f>C77</f>
        <v>200</v>
      </c>
      <c r="E61" s="55"/>
      <c r="F61" s="54"/>
      <c r="G61" s="55"/>
      <c r="H61" s="218"/>
      <c r="I61" s="54"/>
      <c r="J61" s="54"/>
      <c r="K61" s="55"/>
      <c r="L61" s="218"/>
      <c r="M61" s="54"/>
      <c r="N61" s="55"/>
      <c r="P61" s="118"/>
      <c r="Q61" s="492">
        <f>D61*P59</f>
        <v>44220</v>
      </c>
      <c r="R61" s="111"/>
      <c r="S61" s="118"/>
      <c r="T61" s="125"/>
      <c r="U61" s="111"/>
      <c r="V61" s="118"/>
      <c r="W61" s="125"/>
      <c r="X61" s="237"/>
      <c r="Y61" s="111"/>
      <c r="Z61" s="118"/>
      <c r="AA61" s="125"/>
      <c r="AB61" s="111"/>
    </row>
    <row r="62" spans="1:30" x14ac:dyDescent="0.25">
      <c r="A62" s="6"/>
      <c r="B62" s="21" t="s">
        <v>34</v>
      </c>
      <c r="C62" s="8"/>
      <c r="D62" s="491">
        <f>C79</f>
        <v>750</v>
      </c>
      <c r="E62" s="76"/>
      <c r="F62" s="70"/>
      <c r="G62" s="76"/>
      <c r="H62" s="499"/>
      <c r="I62" s="70"/>
      <c r="J62" s="70"/>
      <c r="K62" s="76"/>
      <c r="L62" s="499"/>
      <c r="M62" s="70"/>
      <c r="N62" s="76"/>
      <c r="P62" s="119"/>
      <c r="Q62" s="493">
        <f>D62*P59</f>
        <v>165825</v>
      </c>
      <c r="R62" s="114"/>
      <c r="S62" s="119"/>
      <c r="T62" s="126"/>
      <c r="U62" s="114"/>
      <c r="V62" s="119"/>
      <c r="W62" s="126"/>
      <c r="X62" s="238"/>
      <c r="Y62" s="114"/>
      <c r="Z62" s="119"/>
      <c r="AA62" s="126"/>
      <c r="AB62" s="114"/>
    </row>
    <row r="63" spans="1:30" x14ac:dyDescent="0.25">
      <c r="A63" s="13"/>
      <c r="B63" s="30" t="s">
        <v>14</v>
      </c>
      <c r="C63" s="15">
        <f>'for Dist.'!I11</f>
        <v>4530</v>
      </c>
      <c r="D63" s="69">
        <f>(C76)*D52+550</f>
        <v>1162</v>
      </c>
      <c r="E63" s="74">
        <f>C63-D63</f>
        <v>3368</v>
      </c>
      <c r="F63" s="69">
        <f>(C76)*F52</f>
        <v>1428</v>
      </c>
      <c r="G63" s="74">
        <f>E63-F63</f>
        <v>1940</v>
      </c>
      <c r="H63" s="498"/>
      <c r="I63" s="69">
        <f>(C76-200)*I52</f>
        <v>388</v>
      </c>
      <c r="J63" s="69">
        <f>G63*J52</f>
        <v>194</v>
      </c>
      <c r="K63" s="74">
        <f>G63-I63-J63</f>
        <v>1358</v>
      </c>
      <c r="L63" s="498"/>
      <c r="M63" s="69">
        <f>(C76-200)*M52</f>
        <v>388</v>
      </c>
      <c r="N63" s="74">
        <f>K63-M63</f>
        <v>970</v>
      </c>
      <c r="P63" s="118">
        <f>P52*0.2</f>
        <v>147.4</v>
      </c>
      <c r="Q63" s="124">
        <f>D63*P63</f>
        <v>171278.80000000002</v>
      </c>
      <c r="R63" s="113">
        <f>C63*P63</f>
        <v>667722</v>
      </c>
      <c r="S63" s="118">
        <f>S52*0.2</f>
        <v>147.4</v>
      </c>
      <c r="T63" s="124">
        <f>F63*S63</f>
        <v>210487.2</v>
      </c>
      <c r="U63" s="113">
        <f>E63*S63</f>
        <v>496443.2</v>
      </c>
      <c r="V63" s="118">
        <f>V52*0.2</f>
        <v>147.4</v>
      </c>
      <c r="W63" s="124">
        <f>I63*V63</f>
        <v>57191.200000000004</v>
      </c>
      <c r="X63" s="236">
        <f>J63*V63</f>
        <v>28595.600000000002</v>
      </c>
      <c r="Y63" s="113">
        <f>G63*V63</f>
        <v>285956</v>
      </c>
      <c r="Z63" s="118">
        <f>Z52*0.2</f>
        <v>147.4</v>
      </c>
      <c r="AA63" s="124">
        <f>M63*Z63</f>
        <v>57191.200000000004</v>
      </c>
      <c r="AB63" s="113">
        <f>Z63*K63</f>
        <v>200169.2</v>
      </c>
      <c r="AC63" s="147" t="s">
        <v>110</v>
      </c>
    </row>
    <row r="64" spans="1:30" x14ac:dyDescent="0.25">
      <c r="A64" s="18"/>
      <c r="B64" s="20" t="s">
        <v>11</v>
      </c>
      <c r="C64" s="36" t="str">
        <f>'for Dist.'!I12</f>
        <v>Valued at 6,850</v>
      </c>
      <c r="D64" s="489">
        <f>C76*D52</f>
        <v>612</v>
      </c>
      <c r="E64" s="55"/>
      <c r="F64" s="54"/>
      <c r="G64" s="55"/>
      <c r="H64" s="218"/>
      <c r="I64" s="54"/>
      <c r="J64" s="54"/>
      <c r="K64" s="55"/>
      <c r="L64" s="218"/>
      <c r="M64" s="54"/>
      <c r="N64" s="55"/>
      <c r="P64" s="118"/>
      <c r="Q64" s="492">
        <f>D64*P63</f>
        <v>90208.8</v>
      </c>
      <c r="R64" s="496">
        <f>P63*3200</f>
        <v>471680</v>
      </c>
      <c r="S64" s="118"/>
      <c r="T64" s="125"/>
      <c r="U64" s="111"/>
      <c r="V64" s="118"/>
      <c r="W64" s="125"/>
      <c r="X64" s="237"/>
      <c r="Y64" s="111"/>
      <c r="Z64" s="118"/>
      <c r="AA64" s="125"/>
      <c r="AB64" s="111"/>
    </row>
    <row r="65" spans="1:29" x14ac:dyDescent="0.25">
      <c r="A65" s="6"/>
      <c r="B65" s="21" t="s">
        <v>34</v>
      </c>
      <c r="C65" s="36" t="str">
        <f>'for Dist.'!I14</f>
        <v>save 2,320</v>
      </c>
      <c r="D65" s="489">
        <f>C79</f>
        <v>750</v>
      </c>
      <c r="E65" s="76"/>
      <c r="F65" s="70"/>
      <c r="G65" s="76"/>
      <c r="H65" s="499"/>
      <c r="I65" s="70"/>
      <c r="J65" s="70"/>
      <c r="K65" s="76"/>
      <c r="L65" s="499"/>
      <c r="M65" s="70"/>
      <c r="N65" s="76"/>
      <c r="P65" s="118"/>
      <c r="Q65" s="492">
        <f>D65*P63</f>
        <v>110550</v>
      </c>
      <c r="R65" s="111"/>
      <c r="S65" s="118"/>
      <c r="T65" s="125"/>
      <c r="U65" s="111"/>
      <c r="V65" s="118"/>
      <c r="W65" s="125"/>
      <c r="X65" s="237"/>
      <c r="Y65" s="111"/>
      <c r="Z65" s="118"/>
      <c r="AA65" s="125"/>
      <c r="AB65" s="111"/>
    </row>
    <row r="66" spans="1:29" x14ac:dyDescent="0.25">
      <c r="A66" s="13"/>
      <c r="B66" s="30" t="s">
        <v>23</v>
      </c>
      <c r="C66" s="15">
        <f>'for Dist.'!I15</f>
        <v>4080</v>
      </c>
      <c r="D66" s="61">
        <f>C66*D52</f>
        <v>612</v>
      </c>
      <c r="E66" s="49">
        <f>C66-D66</f>
        <v>3468</v>
      </c>
      <c r="F66" s="48">
        <f>C66*F52</f>
        <v>1428</v>
      </c>
      <c r="G66" s="49">
        <f>E66-F66</f>
        <v>2040</v>
      </c>
      <c r="H66" s="498"/>
      <c r="I66" s="48">
        <f>C66*I52</f>
        <v>408</v>
      </c>
      <c r="J66" s="69">
        <f>G66*J52</f>
        <v>204</v>
      </c>
      <c r="K66" s="74">
        <f>G66-I66-J66</f>
        <v>1428</v>
      </c>
      <c r="L66" s="498"/>
      <c r="M66" s="48">
        <f>C66*M52</f>
        <v>408</v>
      </c>
      <c r="N66" s="49">
        <f>K66-M66</f>
        <v>1020</v>
      </c>
      <c r="P66" s="120">
        <f>P52*0.1</f>
        <v>73.7</v>
      </c>
      <c r="Q66" s="124">
        <f>D66*P66</f>
        <v>45104.4</v>
      </c>
      <c r="R66" s="113">
        <f>C66*P66</f>
        <v>300696</v>
      </c>
      <c r="S66" s="120">
        <f>S52*0.1</f>
        <v>73.7</v>
      </c>
      <c r="T66" s="124">
        <f>F66*S66</f>
        <v>105243.6</v>
      </c>
      <c r="U66" s="113">
        <f>E66*S66</f>
        <v>255591.6</v>
      </c>
      <c r="V66" s="120">
        <f>V52*0.1</f>
        <v>73.7</v>
      </c>
      <c r="W66" s="124">
        <f>I66*V66</f>
        <v>30069.600000000002</v>
      </c>
      <c r="X66" s="236">
        <f>J66*V66</f>
        <v>15034.800000000001</v>
      </c>
      <c r="Y66" s="113">
        <f>G66*V66</f>
        <v>150348</v>
      </c>
      <c r="Z66" s="120">
        <f>Z52*0.1</f>
        <v>73.7</v>
      </c>
      <c r="AA66" s="124">
        <f>M66*Z66</f>
        <v>30069.600000000002</v>
      </c>
      <c r="AB66" s="113">
        <f>Z66*K66</f>
        <v>105243.6</v>
      </c>
      <c r="AC66" s="147" t="s">
        <v>111</v>
      </c>
    </row>
    <row r="67" spans="1:29" x14ac:dyDescent="0.25">
      <c r="A67" s="18"/>
      <c r="B67" s="209" t="s">
        <v>101</v>
      </c>
      <c r="C67" s="27"/>
      <c r="D67" s="54"/>
      <c r="E67" s="211"/>
      <c r="F67" s="212"/>
      <c r="G67" s="211"/>
      <c r="H67" s="500"/>
      <c r="I67" s="212"/>
      <c r="J67" s="212"/>
      <c r="K67" s="211"/>
      <c r="L67" s="500"/>
      <c r="M67" s="212"/>
      <c r="N67" s="211"/>
      <c r="P67" s="118"/>
      <c r="Q67" s="174"/>
      <c r="R67" s="109"/>
      <c r="S67" s="118"/>
      <c r="T67" s="174"/>
      <c r="U67" s="109"/>
      <c r="V67" s="118"/>
      <c r="W67" s="174"/>
      <c r="X67" s="239"/>
      <c r="Y67" s="109"/>
      <c r="Z67" s="118"/>
      <c r="AA67" s="174"/>
      <c r="AB67" s="109"/>
      <c r="AC67" s="147"/>
    </row>
    <row r="68" spans="1:29" ht="16.5" thickBot="1" x14ac:dyDescent="0.3">
      <c r="A68" s="6"/>
      <c r="B68" s="21"/>
      <c r="C68" s="40"/>
      <c r="D68" s="78"/>
      <c r="E68" s="79"/>
      <c r="F68" s="80"/>
      <c r="G68" s="79"/>
      <c r="H68" s="501"/>
      <c r="I68" s="80"/>
      <c r="J68" s="80"/>
      <c r="K68" s="79"/>
      <c r="L68" s="501"/>
      <c r="M68" s="80"/>
      <c r="N68" s="79"/>
      <c r="P68" s="121"/>
      <c r="Q68" s="136"/>
      <c r="R68" s="112"/>
      <c r="S68" s="121"/>
      <c r="T68" s="136"/>
      <c r="U68" s="112"/>
      <c r="V68" s="121"/>
      <c r="W68" s="136"/>
      <c r="X68" s="240"/>
      <c r="Y68" s="112"/>
      <c r="Z68" s="122"/>
      <c r="AA68" s="136"/>
      <c r="AB68" s="112"/>
    </row>
    <row r="69" spans="1:29" x14ac:dyDescent="0.25"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9" x14ac:dyDescent="0.25">
      <c r="P70" s="123"/>
      <c r="Q70" s="123">
        <f>Q54+Q59+Q63+Q66</f>
        <v>1626559</v>
      </c>
      <c r="R70" s="123" t="e">
        <f>R54+R59+R63+R66</f>
        <v>#REF!</v>
      </c>
      <c r="S70" s="123"/>
      <c r="T70" s="123">
        <f>SUM(T54:T69)</f>
        <v>1052436</v>
      </c>
      <c r="U70" s="123" t="e">
        <f>SUM(U54:U69)</f>
        <v>#REF!</v>
      </c>
      <c r="V70" s="123"/>
      <c r="W70" s="123">
        <f>SUM(W54:W69)</f>
        <v>279323</v>
      </c>
      <c r="X70" s="123" t="e">
        <f>SUM(X54:X69)</f>
        <v>#REF!</v>
      </c>
      <c r="Y70" s="123" t="e">
        <f>SUM(Y54:Y69)</f>
        <v>#REF!</v>
      </c>
      <c r="Z70" s="123"/>
      <c r="AA70" s="123">
        <f>SUM(AA54:AA69)</f>
        <v>279323</v>
      </c>
      <c r="AB70" s="123" t="e">
        <f>SUM(AB54:AB69)</f>
        <v>#REF!</v>
      </c>
    </row>
    <row r="71" spans="1:29" x14ac:dyDescent="0.25">
      <c r="B71" s="39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</row>
    <row r="72" spans="1:29" x14ac:dyDescent="0.25">
      <c r="B72" s="39"/>
      <c r="P72" s="123"/>
      <c r="Q72" s="157" t="e">
        <f>Q70/R70</f>
        <v>#REF!</v>
      </c>
      <c r="T72" s="157" t="e">
        <f>T70/U70</f>
        <v>#REF!</v>
      </c>
      <c r="W72" s="157" t="e">
        <f>(W70+X70)/Y70</f>
        <v>#REF!</v>
      </c>
      <c r="X72" s="157"/>
      <c r="AA72" s="157" t="e">
        <f>AA70/AB70</f>
        <v>#REF!</v>
      </c>
      <c r="AB72" s="123"/>
    </row>
    <row r="73" spans="1:29" x14ac:dyDescent="0.25">
      <c r="B73" s="39" t="s">
        <v>7</v>
      </c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</row>
    <row r="74" spans="1:29" ht="16.5" thickBot="1" x14ac:dyDescent="0.3">
      <c r="A74" s="3"/>
      <c r="B74" s="3"/>
      <c r="C74" s="3"/>
      <c r="D74" s="42">
        <v>0.15</v>
      </c>
      <c r="E74" s="3"/>
      <c r="F74" s="42">
        <v>0.35</v>
      </c>
      <c r="G74" s="3"/>
      <c r="H74" s="42"/>
      <c r="I74" s="42">
        <v>0.1</v>
      </c>
      <c r="J74" s="42">
        <v>0.1</v>
      </c>
      <c r="K74" s="42"/>
      <c r="L74" s="42"/>
      <c r="M74" s="42">
        <v>0.1</v>
      </c>
      <c r="N74" s="3"/>
      <c r="R74" s="101" t="s">
        <v>77</v>
      </c>
      <c r="U74" s="101" t="s">
        <v>102</v>
      </c>
      <c r="Y74" s="101" t="s">
        <v>66</v>
      </c>
      <c r="AB74" s="128" t="s">
        <v>67</v>
      </c>
    </row>
    <row r="75" spans="1:29" s="3" customFormat="1" ht="15" x14ac:dyDescent="0.25">
      <c r="A75" s="9"/>
      <c r="B75" s="9" t="s">
        <v>6</v>
      </c>
      <c r="C75" s="43" t="s">
        <v>36</v>
      </c>
      <c r="D75" s="46" t="s">
        <v>42</v>
      </c>
      <c r="E75" s="47" t="s">
        <v>37</v>
      </c>
      <c r="F75" s="68" t="s">
        <v>42</v>
      </c>
      <c r="G75" s="88" t="s">
        <v>38</v>
      </c>
      <c r="H75" s="497"/>
      <c r="I75" s="46" t="s">
        <v>42</v>
      </c>
      <c r="J75" s="46" t="s">
        <v>103</v>
      </c>
      <c r="K75" s="47" t="s">
        <v>39</v>
      </c>
      <c r="L75" s="497"/>
      <c r="M75" s="68" t="s">
        <v>42</v>
      </c>
      <c r="N75" s="47" t="s">
        <v>40</v>
      </c>
      <c r="P75" s="115" t="s">
        <v>68</v>
      </c>
      <c r="Q75" s="135" t="s">
        <v>42</v>
      </c>
      <c r="R75" s="116" t="s">
        <v>65</v>
      </c>
      <c r="S75" s="115" t="s">
        <v>68</v>
      </c>
      <c r="T75" s="135" t="s">
        <v>42</v>
      </c>
      <c r="U75" s="116" t="s">
        <v>65</v>
      </c>
      <c r="V75" s="115" t="s">
        <v>68</v>
      </c>
      <c r="W75" s="229" t="s">
        <v>42</v>
      </c>
      <c r="X75" s="221" t="s">
        <v>103</v>
      </c>
      <c r="Y75" s="116" t="s">
        <v>65</v>
      </c>
      <c r="Z75" s="115" t="s">
        <v>76</v>
      </c>
      <c r="AA75" s="135" t="s">
        <v>42</v>
      </c>
      <c r="AB75" s="116" t="s">
        <v>65</v>
      </c>
    </row>
    <row r="76" spans="1:29" s="3" customFormat="1" x14ac:dyDescent="0.25">
      <c r="A76" s="7">
        <v>1</v>
      </c>
      <c r="B76" s="30" t="s">
        <v>41</v>
      </c>
      <c r="C76" s="57">
        <f>'for Dist.'!I15</f>
        <v>4080</v>
      </c>
      <c r="D76" s="61">
        <f>C76*D74</f>
        <v>612</v>
      </c>
      <c r="E76" s="49">
        <f>C76-D76</f>
        <v>3468</v>
      </c>
      <c r="F76" s="81">
        <f>C76*F74</f>
        <v>1428</v>
      </c>
      <c r="G76" s="89">
        <f>E76-F76</f>
        <v>2040</v>
      </c>
      <c r="H76" s="502"/>
      <c r="I76" s="48">
        <f>C76*I74</f>
        <v>408</v>
      </c>
      <c r="J76" s="48">
        <f>G76*J74</f>
        <v>204</v>
      </c>
      <c r="K76" s="49">
        <f>G76-I76-J76</f>
        <v>1428</v>
      </c>
      <c r="L76" s="502"/>
      <c r="M76" s="81">
        <f>C76*M74</f>
        <v>408</v>
      </c>
      <c r="N76" s="49">
        <f>K76-M76</f>
        <v>1020</v>
      </c>
      <c r="P76" s="127">
        <v>0</v>
      </c>
      <c r="Q76" s="124">
        <f>E76*P76</f>
        <v>0</v>
      </c>
      <c r="R76" s="113">
        <v>0</v>
      </c>
      <c r="S76" s="127">
        <v>0</v>
      </c>
      <c r="T76" s="124">
        <f>I76*S76</f>
        <v>0</v>
      </c>
      <c r="U76" s="113">
        <v>0</v>
      </c>
      <c r="V76" s="127">
        <v>0</v>
      </c>
      <c r="W76" s="230">
        <f>I76*V76</f>
        <v>0</v>
      </c>
      <c r="X76" s="236">
        <v>0</v>
      </c>
      <c r="Y76" s="113">
        <f>E76*V76</f>
        <v>0</v>
      </c>
      <c r="Z76" s="117">
        <v>0</v>
      </c>
      <c r="AA76" s="124">
        <v>0</v>
      </c>
      <c r="AB76" s="113">
        <f>Z76*N76</f>
        <v>0</v>
      </c>
    </row>
    <row r="77" spans="1:29" s="3" customFormat="1" x14ac:dyDescent="0.25">
      <c r="A77" s="7">
        <v>2</v>
      </c>
      <c r="B77" s="41" t="s">
        <v>0</v>
      </c>
      <c r="C77" s="58">
        <f>'for Dist.'!I24</f>
        <v>200</v>
      </c>
      <c r="D77" s="62">
        <v>350</v>
      </c>
      <c r="E77" s="51">
        <v>0</v>
      </c>
      <c r="F77" s="82" t="s">
        <v>43</v>
      </c>
      <c r="G77" s="44" t="s">
        <v>43</v>
      </c>
      <c r="H77" s="220"/>
      <c r="I77" s="50" t="s">
        <v>43</v>
      </c>
      <c r="J77" s="220" t="s">
        <v>43</v>
      </c>
      <c r="K77" s="51" t="s">
        <v>43</v>
      </c>
      <c r="L77" s="220"/>
      <c r="M77" s="82" t="s">
        <v>43</v>
      </c>
      <c r="N77" s="51" t="s">
        <v>43</v>
      </c>
      <c r="P77" s="137">
        <f>(P63+P66)*0.5</f>
        <v>110.55000000000001</v>
      </c>
      <c r="Q77" s="129">
        <f>D77*P77</f>
        <v>38692.500000000007</v>
      </c>
      <c r="R77" s="129">
        <f>C77*P77</f>
        <v>22110.000000000004</v>
      </c>
      <c r="S77" s="137" t="s">
        <v>43</v>
      </c>
      <c r="T77" s="129" t="s">
        <v>43</v>
      </c>
      <c r="U77" s="129" t="s">
        <v>43</v>
      </c>
      <c r="V77" s="137" t="s">
        <v>43</v>
      </c>
      <c r="W77" s="225" t="s">
        <v>43</v>
      </c>
      <c r="X77" s="248" t="s">
        <v>43</v>
      </c>
      <c r="Y77" s="245" t="s">
        <v>43</v>
      </c>
      <c r="Z77" s="137" t="s">
        <v>43</v>
      </c>
      <c r="AA77" s="129" t="s">
        <v>43</v>
      </c>
      <c r="AB77" s="138" t="s">
        <v>43</v>
      </c>
      <c r="AC77" s="147" t="s">
        <v>69</v>
      </c>
    </row>
    <row r="78" spans="1:29" s="3" customFormat="1" x14ac:dyDescent="0.25">
      <c r="A78" s="5">
        <v>3</v>
      </c>
      <c r="B78" s="41" t="s">
        <v>24</v>
      </c>
      <c r="C78" s="44">
        <f>'for Dist.'!I25</f>
        <v>500</v>
      </c>
      <c r="D78" s="61">
        <f>C78*D74</f>
        <v>75</v>
      </c>
      <c r="E78" s="49">
        <f>C78-D78</f>
        <v>425</v>
      </c>
      <c r="F78" s="81">
        <f>C78*F74</f>
        <v>175</v>
      </c>
      <c r="G78" s="89">
        <f>E78-F78</f>
        <v>250</v>
      </c>
      <c r="H78" s="502"/>
      <c r="I78" s="48">
        <f>C78*I74</f>
        <v>50</v>
      </c>
      <c r="J78" s="48">
        <f>G78*J74</f>
        <v>25</v>
      </c>
      <c r="K78" s="49">
        <f>G78-I78-J78</f>
        <v>175</v>
      </c>
      <c r="L78" s="502"/>
      <c r="M78" s="81">
        <f>C78*M74</f>
        <v>50</v>
      </c>
      <c r="N78" s="49">
        <f>K78-M78</f>
        <v>125</v>
      </c>
      <c r="P78" s="137">
        <f>0.1*P52</f>
        <v>73.7</v>
      </c>
      <c r="Q78" s="129">
        <f>D78*P78</f>
        <v>5527.5</v>
      </c>
      <c r="R78" s="129">
        <f>C78*P78</f>
        <v>36850</v>
      </c>
      <c r="S78" s="137">
        <f>0.1*S52</f>
        <v>73.7</v>
      </c>
      <c r="T78" s="129">
        <f>F78*P78</f>
        <v>12897.5</v>
      </c>
      <c r="U78" s="129">
        <f>E78*S78</f>
        <v>31322.5</v>
      </c>
      <c r="V78" s="137">
        <f>0.1*V52</f>
        <v>73.7</v>
      </c>
      <c r="W78" s="225">
        <f>I78*V78</f>
        <v>3685</v>
      </c>
      <c r="X78" s="248">
        <f>J78*V78</f>
        <v>1842.5</v>
      </c>
      <c r="Y78" s="245">
        <f>G78*V78</f>
        <v>18425</v>
      </c>
      <c r="Z78" s="137">
        <f>0.1*Z52</f>
        <v>73.7</v>
      </c>
      <c r="AA78" s="129">
        <f>M78*Z78</f>
        <v>3685</v>
      </c>
      <c r="AB78" s="148">
        <f>K78*Z78</f>
        <v>12897.5</v>
      </c>
      <c r="AC78" s="147" t="s">
        <v>111</v>
      </c>
    </row>
    <row r="79" spans="1:29" s="3" customFormat="1" x14ac:dyDescent="0.25">
      <c r="A79" s="24">
        <v>4</v>
      </c>
      <c r="B79" s="5" t="s">
        <v>48</v>
      </c>
      <c r="C79" s="59">
        <f>'for Dist.'!I27</f>
        <v>750</v>
      </c>
      <c r="D79" s="56">
        <v>550</v>
      </c>
      <c r="E79" s="51">
        <v>0</v>
      </c>
      <c r="F79" s="82" t="s">
        <v>43</v>
      </c>
      <c r="G79" s="44" t="s">
        <v>43</v>
      </c>
      <c r="H79" s="220"/>
      <c r="I79" s="50" t="s">
        <v>43</v>
      </c>
      <c r="J79" s="220" t="s">
        <v>43</v>
      </c>
      <c r="K79" s="51" t="s">
        <v>43</v>
      </c>
      <c r="L79" s="220"/>
      <c r="M79" s="82" t="s">
        <v>43</v>
      </c>
      <c r="N79" s="51" t="s">
        <v>43</v>
      </c>
      <c r="P79" s="137">
        <f>0.3*P66</f>
        <v>22.11</v>
      </c>
      <c r="Q79" s="129">
        <f>D79*P79</f>
        <v>12160.5</v>
      </c>
      <c r="R79" s="129">
        <f>C79*P79</f>
        <v>16582.5</v>
      </c>
      <c r="S79" s="137" t="s">
        <v>43</v>
      </c>
      <c r="T79" s="129" t="s">
        <v>43</v>
      </c>
      <c r="U79" s="129" t="s">
        <v>43</v>
      </c>
      <c r="V79" s="137" t="s">
        <v>43</v>
      </c>
      <c r="W79" s="225" t="s">
        <v>43</v>
      </c>
      <c r="X79" s="248" t="s">
        <v>43</v>
      </c>
      <c r="Y79" s="172" t="s">
        <v>43</v>
      </c>
      <c r="Z79" s="137" t="s">
        <v>43</v>
      </c>
      <c r="AA79" s="129" t="s">
        <v>43</v>
      </c>
      <c r="AB79" s="148" t="s">
        <v>43</v>
      </c>
      <c r="AC79" s="147" t="s">
        <v>71</v>
      </c>
    </row>
    <row r="80" spans="1:29" s="3" customFormat="1" x14ac:dyDescent="0.25">
      <c r="A80" s="24">
        <v>5</v>
      </c>
      <c r="B80" s="98" t="s">
        <v>58</v>
      </c>
      <c r="C80" s="59">
        <v>150</v>
      </c>
      <c r="D80" s="100" t="s">
        <v>43</v>
      </c>
      <c r="E80" s="99" t="s">
        <v>43</v>
      </c>
      <c r="F80" s="100" t="s">
        <v>43</v>
      </c>
      <c r="G80" s="99" t="s">
        <v>43</v>
      </c>
      <c r="H80" s="220"/>
      <c r="I80" s="50">
        <v>150</v>
      </c>
      <c r="J80" s="220" t="s">
        <v>43</v>
      </c>
      <c r="K80" s="51">
        <v>0</v>
      </c>
      <c r="L80" s="220"/>
      <c r="M80" s="106" t="s">
        <v>43</v>
      </c>
      <c r="N80" s="99" t="s">
        <v>43</v>
      </c>
      <c r="P80" s="137" t="s">
        <v>43</v>
      </c>
      <c r="Q80" s="129" t="s">
        <v>43</v>
      </c>
      <c r="R80" s="129" t="s">
        <v>43</v>
      </c>
      <c r="S80" s="137" t="s">
        <v>43</v>
      </c>
      <c r="T80" s="129" t="s">
        <v>43</v>
      </c>
      <c r="U80" s="129" t="s">
        <v>43</v>
      </c>
      <c r="V80" s="137">
        <f>V52*0.2</f>
        <v>147.4</v>
      </c>
      <c r="W80" s="225">
        <f>I80*V80</f>
        <v>22110</v>
      </c>
      <c r="X80" s="248" t="s">
        <v>43</v>
      </c>
      <c r="Y80" s="245">
        <f>C80*V80</f>
        <v>22110</v>
      </c>
      <c r="Z80" s="137" t="s">
        <v>43</v>
      </c>
      <c r="AA80" s="129" t="s">
        <v>43</v>
      </c>
      <c r="AB80" s="148" t="s">
        <v>43</v>
      </c>
      <c r="AC80" s="147" t="s">
        <v>110</v>
      </c>
    </row>
    <row r="81" spans="1:33" s="3" customFormat="1" x14ac:dyDescent="0.25">
      <c r="A81" s="14">
        <v>6</v>
      </c>
      <c r="B81" s="5" t="s">
        <v>8</v>
      </c>
      <c r="C81" s="59">
        <f>'for Dist.'!I28</f>
        <v>280</v>
      </c>
      <c r="D81" s="56">
        <v>280</v>
      </c>
      <c r="E81" s="51">
        <v>0</v>
      </c>
      <c r="F81" s="82" t="s">
        <v>43</v>
      </c>
      <c r="G81" s="44" t="s">
        <v>43</v>
      </c>
      <c r="H81" s="220"/>
      <c r="I81" s="50" t="s">
        <v>43</v>
      </c>
      <c r="J81" s="220" t="s">
        <v>43</v>
      </c>
      <c r="K81" s="51" t="s">
        <v>43</v>
      </c>
      <c r="L81" s="220"/>
      <c r="M81" s="82" t="s">
        <v>43</v>
      </c>
      <c r="N81" s="51" t="s">
        <v>43</v>
      </c>
      <c r="P81" s="140">
        <f>(P59+P63+P66)*0.2</f>
        <v>88.44</v>
      </c>
      <c r="Q81" s="129">
        <f>D81*P81</f>
        <v>24763.200000000001</v>
      </c>
      <c r="R81" s="129">
        <f>C81*P81</f>
        <v>24763.200000000001</v>
      </c>
      <c r="S81" s="137" t="s">
        <v>43</v>
      </c>
      <c r="T81" s="129" t="s">
        <v>43</v>
      </c>
      <c r="U81" s="129" t="s">
        <v>43</v>
      </c>
      <c r="V81" s="140" t="s">
        <v>43</v>
      </c>
      <c r="W81" s="226" t="s">
        <v>43</v>
      </c>
      <c r="X81" s="249" t="s">
        <v>43</v>
      </c>
      <c r="Y81" s="246" t="s">
        <v>43</v>
      </c>
      <c r="Z81" s="137" t="s">
        <v>43</v>
      </c>
      <c r="AA81" s="129" t="s">
        <v>43</v>
      </c>
      <c r="AB81" s="148" t="s">
        <v>43</v>
      </c>
      <c r="AC81" s="147" t="s">
        <v>70</v>
      </c>
    </row>
    <row r="82" spans="1:33" s="3" customFormat="1" x14ac:dyDescent="0.25">
      <c r="A82" s="24">
        <v>7</v>
      </c>
      <c r="B82" s="98" t="s">
        <v>26</v>
      </c>
      <c r="C82" s="60">
        <f>'for Dist.'!I29</f>
        <v>50</v>
      </c>
      <c r="D82" s="50">
        <v>50</v>
      </c>
      <c r="E82" s="51" t="s">
        <v>43</v>
      </c>
      <c r="F82" s="82" t="s">
        <v>43</v>
      </c>
      <c r="G82" s="107" t="s">
        <v>43</v>
      </c>
      <c r="H82" s="220"/>
      <c r="I82" s="100" t="s">
        <v>43</v>
      </c>
      <c r="J82" s="220" t="s">
        <v>43</v>
      </c>
      <c r="K82" s="99" t="s">
        <v>43</v>
      </c>
      <c r="L82" s="220"/>
      <c r="M82" s="106" t="s">
        <v>63</v>
      </c>
      <c r="N82" s="99" t="s">
        <v>63</v>
      </c>
      <c r="P82" s="140">
        <f>(P59+P63+P66)*0.2</f>
        <v>88.44</v>
      </c>
      <c r="Q82" s="129">
        <f>D82*P82</f>
        <v>4422</v>
      </c>
      <c r="R82" s="129">
        <f>C82*P82</f>
        <v>4422</v>
      </c>
      <c r="S82" s="137" t="s">
        <v>43</v>
      </c>
      <c r="T82" s="129" t="s">
        <v>43</v>
      </c>
      <c r="U82" s="129" t="s">
        <v>43</v>
      </c>
      <c r="V82" s="140" t="s">
        <v>43</v>
      </c>
      <c r="W82" s="227" t="s">
        <v>43</v>
      </c>
      <c r="X82" s="250" t="s">
        <v>43</v>
      </c>
      <c r="Y82" s="149" t="s">
        <v>43</v>
      </c>
      <c r="Z82" s="137" t="s">
        <v>43</v>
      </c>
      <c r="AA82" s="129" t="s">
        <v>43</v>
      </c>
      <c r="AB82" s="148" t="s">
        <v>43</v>
      </c>
      <c r="AC82" s="147" t="s">
        <v>70</v>
      </c>
    </row>
    <row r="83" spans="1:33" s="3" customFormat="1" x14ac:dyDescent="0.25">
      <c r="A83" s="24">
        <v>8</v>
      </c>
      <c r="B83" s="14" t="s">
        <v>9</v>
      </c>
      <c r="C83" s="57">
        <f>'for Dist.'!I30</f>
        <v>2400</v>
      </c>
      <c r="D83" s="61">
        <v>750</v>
      </c>
      <c r="E83" s="63">
        <v>0</v>
      </c>
      <c r="F83" s="83" t="s">
        <v>43</v>
      </c>
      <c r="G83" s="90" t="s">
        <v>43</v>
      </c>
      <c r="H83" s="243"/>
      <c r="I83" s="52" t="s">
        <v>43</v>
      </c>
      <c r="J83" s="243" t="s">
        <v>43</v>
      </c>
      <c r="K83" s="53" t="s">
        <v>43</v>
      </c>
      <c r="L83" s="243"/>
      <c r="M83" s="83" t="s">
        <v>43</v>
      </c>
      <c r="N83" s="53" t="s">
        <v>43</v>
      </c>
      <c r="P83" s="140">
        <f>(P59+P63+P66)*0.2</f>
        <v>88.44</v>
      </c>
      <c r="Q83" s="131">
        <f>D83*P83</f>
        <v>66330</v>
      </c>
      <c r="R83" s="149">
        <f>C83*P83</f>
        <v>212256</v>
      </c>
      <c r="S83" s="140" t="s">
        <v>43</v>
      </c>
      <c r="T83" s="131" t="s">
        <v>43</v>
      </c>
      <c r="U83" s="149" t="s">
        <v>43</v>
      </c>
      <c r="V83" s="140" t="s">
        <v>43</v>
      </c>
      <c r="W83" s="133" t="s">
        <v>43</v>
      </c>
      <c r="X83" s="250" t="s">
        <v>43</v>
      </c>
      <c r="Y83" s="149" t="s">
        <v>43</v>
      </c>
      <c r="Z83" s="140" t="s">
        <v>43</v>
      </c>
      <c r="AA83" s="133" t="s">
        <v>43</v>
      </c>
      <c r="AB83" s="141" t="s">
        <v>43</v>
      </c>
      <c r="AC83" s="147" t="s">
        <v>70</v>
      </c>
    </row>
    <row r="84" spans="1:33" s="3" customFormat="1" x14ac:dyDescent="0.25">
      <c r="A84" s="22"/>
      <c r="B84" s="23" t="s">
        <v>31</v>
      </c>
      <c r="C84" s="45"/>
      <c r="D84" s="54"/>
      <c r="E84" s="55"/>
      <c r="F84" s="84"/>
      <c r="G84" s="45"/>
      <c r="H84" s="218"/>
      <c r="I84" s="54"/>
      <c r="J84" s="218"/>
      <c r="K84" s="55"/>
      <c r="L84" s="218"/>
      <c r="M84" s="84"/>
      <c r="N84" s="55"/>
      <c r="P84" s="110"/>
      <c r="Q84" s="125"/>
      <c r="R84" s="150"/>
      <c r="S84" s="110"/>
      <c r="T84" s="125"/>
      <c r="U84" s="150"/>
      <c r="V84" s="110"/>
      <c r="W84" s="12"/>
      <c r="X84" s="237"/>
      <c r="Y84" s="150"/>
      <c r="Z84" s="110"/>
      <c r="AA84" s="12"/>
      <c r="AB84" s="111"/>
    </row>
    <row r="85" spans="1:33" s="3" customFormat="1" x14ac:dyDescent="0.25">
      <c r="A85" s="23"/>
      <c r="B85" s="23" t="s">
        <v>28</v>
      </c>
      <c r="C85" s="45"/>
      <c r="D85" s="54"/>
      <c r="E85" s="55"/>
      <c r="F85" s="84"/>
      <c r="G85" s="45"/>
      <c r="H85" s="218"/>
      <c r="I85" s="54"/>
      <c r="J85" s="218"/>
      <c r="K85" s="55"/>
      <c r="L85" s="218"/>
      <c r="M85" s="84"/>
      <c r="N85" s="55"/>
      <c r="P85" s="110"/>
      <c r="Q85" s="174"/>
      <c r="R85" s="151"/>
      <c r="S85" s="110"/>
      <c r="T85" s="174"/>
      <c r="U85" s="151"/>
      <c r="V85" s="110"/>
      <c r="W85" s="132"/>
      <c r="X85" s="251"/>
      <c r="Y85" s="151"/>
      <c r="Z85" s="110"/>
      <c r="AA85" s="132"/>
      <c r="AB85" s="109"/>
    </row>
    <row r="86" spans="1:33" s="3" customFormat="1" x14ac:dyDescent="0.25">
      <c r="A86" s="23"/>
      <c r="B86" s="23" t="s">
        <v>29</v>
      </c>
      <c r="C86" s="45"/>
      <c r="D86" s="54"/>
      <c r="E86" s="55"/>
      <c r="F86" s="84"/>
      <c r="G86" s="45"/>
      <c r="H86" s="218"/>
      <c r="I86" s="54"/>
      <c r="J86" s="218"/>
      <c r="K86" s="55"/>
      <c r="L86" s="218"/>
      <c r="M86" s="84"/>
      <c r="N86" s="55"/>
      <c r="P86" s="142"/>
      <c r="Q86" s="126"/>
      <c r="R86" s="152"/>
      <c r="S86" s="142"/>
      <c r="T86" s="126"/>
      <c r="U86" s="152"/>
      <c r="V86" s="142"/>
      <c r="W86" s="134"/>
      <c r="X86" s="238"/>
      <c r="Y86" s="152"/>
      <c r="Z86" s="142"/>
      <c r="AA86" s="134"/>
      <c r="AB86" s="114"/>
    </row>
    <row r="87" spans="1:33" s="3" customFormat="1" x14ac:dyDescent="0.25">
      <c r="A87" s="5">
        <v>9</v>
      </c>
      <c r="B87" s="5" t="s">
        <v>32</v>
      </c>
      <c r="C87" s="59">
        <f>'for Dist.'!I34</f>
        <v>1050</v>
      </c>
      <c r="D87" s="56">
        <f>C87*D74</f>
        <v>157.5</v>
      </c>
      <c r="E87" s="49">
        <f>C87-D87</f>
        <v>892.5</v>
      </c>
      <c r="F87" s="85">
        <f>C87*F74</f>
        <v>367.5</v>
      </c>
      <c r="G87" s="89">
        <f>E87-F87</f>
        <v>525</v>
      </c>
      <c r="H87" s="503"/>
      <c r="I87" s="56">
        <f>C87*I74</f>
        <v>105</v>
      </c>
      <c r="J87" s="56">
        <f>G87*J74</f>
        <v>52.5</v>
      </c>
      <c r="K87" s="49">
        <f>G87-I87-J87</f>
        <v>367.5</v>
      </c>
      <c r="L87" s="503"/>
      <c r="M87" s="85">
        <f>C87*M74</f>
        <v>105</v>
      </c>
      <c r="N87" s="49">
        <f>K87-M87</f>
        <v>262.5</v>
      </c>
      <c r="P87" s="173" t="s">
        <v>43</v>
      </c>
      <c r="Q87" s="129" t="s">
        <v>43</v>
      </c>
      <c r="R87" s="172" t="s">
        <v>43</v>
      </c>
      <c r="S87" s="173" t="s">
        <v>43</v>
      </c>
      <c r="T87" s="129" t="s">
        <v>43</v>
      </c>
      <c r="U87" s="172" t="s">
        <v>43</v>
      </c>
      <c r="V87" s="137" t="s">
        <v>43</v>
      </c>
      <c r="W87" s="225" t="s">
        <v>43</v>
      </c>
      <c r="X87" s="248" t="s">
        <v>43</v>
      </c>
      <c r="Y87" s="172" t="s">
        <v>43</v>
      </c>
      <c r="Z87" s="137" t="s">
        <v>43</v>
      </c>
      <c r="AA87" s="129" t="s">
        <v>43</v>
      </c>
      <c r="AB87" s="138" t="s">
        <v>43</v>
      </c>
    </row>
    <row r="88" spans="1:33" s="3" customFormat="1" x14ac:dyDescent="0.25">
      <c r="A88" s="5">
        <v>10</v>
      </c>
      <c r="B88" s="5" t="s">
        <v>56</v>
      </c>
      <c r="C88" s="59">
        <f>'for Dist.'!I35</f>
        <v>100</v>
      </c>
      <c r="D88" s="56">
        <f>C88*D74</f>
        <v>15</v>
      </c>
      <c r="E88" s="86">
        <f>C88-D88</f>
        <v>85</v>
      </c>
      <c r="F88" s="85">
        <f>C88*F74</f>
        <v>35</v>
      </c>
      <c r="G88" s="91">
        <f>E88-F88</f>
        <v>50</v>
      </c>
      <c r="H88" s="224"/>
      <c r="I88" s="56">
        <f>C88*I74</f>
        <v>10</v>
      </c>
      <c r="J88" s="56">
        <f>G88*J74</f>
        <v>5</v>
      </c>
      <c r="K88" s="86">
        <f>G88-I88-J88</f>
        <v>35</v>
      </c>
      <c r="L88" s="224"/>
      <c r="M88" s="85">
        <f>C88*M74</f>
        <v>10</v>
      </c>
      <c r="N88" s="86">
        <f>K88-M88</f>
        <v>25</v>
      </c>
      <c r="P88" s="137">
        <f>0.1*P52</f>
        <v>73.7</v>
      </c>
      <c r="Q88" s="129">
        <f>D88*P88</f>
        <v>1105.5</v>
      </c>
      <c r="R88" s="129">
        <f>C88*P88</f>
        <v>7370</v>
      </c>
      <c r="S88" s="137">
        <f>0.1*S52</f>
        <v>73.7</v>
      </c>
      <c r="T88" s="129">
        <f>F88*P88</f>
        <v>2579.5</v>
      </c>
      <c r="U88" s="129">
        <f>E88*S88</f>
        <v>6264.5</v>
      </c>
      <c r="V88" s="137">
        <f>0.1*V52</f>
        <v>73.7</v>
      </c>
      <c r="W88" s="226">
        <f>I88*V88</f>
        <v>737</v>
      </c>
      <c r="X88" s="249">
        <f>J88*V88</f>
        <v>368.5</v>
      </c>
      <c r="Y88" s="245">
        <f>G88*V88</f>
        <v>3685</v>
      </c>
      <c r="Z88" s="137">
        <f>0.1*Z52</f>
        <v>73.7</v>
      </c>
      <c r="AA88" s="130">
        <f>M88*Z88</f>
        <v>737</v>
      </c>
      <c r="AB88" s="139">
        <f>Z88*K88</f>
        <v>2579.5</v>
      </c>
      <c r="AC88" s="147" t="s">
        <v>111</v>
      </c>
    </row>
    <row r="89" spans="1:33" s="3" customFormat="1" x14ac:dyDescent="0.25">
      <c r="A89" s="5">
        <v>11</v>
      </c>
      <c r="B89" s="5" t="s">
        <v>45</v>
      </c>
      <c r="C89" s="59">
        <v>300</v>
      </c>
      <c r="D89" s="50" t="s">
        <v>43</v>
      </c>
      <c r="E89" s="86" t="s">
        <v>43</v>
      </c>
      <c r="F89" s="85">
        <v>300</v>
      </c>
      <c r="G89" s="91">
        <v>0</v>
      </c>
      <c r="H89" s="242"/>
      <c r="I89" s="56" t="s">
        <v>43</v>
      </c>
      <c r="J89" s="242" t="s">
        <v>43</v>
      </c>
      <c r="K89" s="86" t="s">
        <v>43</v>
      </c>
      <c r="L89" s="242"/>
      <c r="M89" s="85" t="s">
        <v>43</v>
      </c>
      <c r="N89" s="86" t="s">
        <v>43</v>
      </c>
      <c r="P89" s="173" t="s">
        <v>43</v>
      </c>
      <c r="Q89" s="129" t="s">
        <v>43</v>
      </c>
      <c r="R89" s="172" t="s">
        <v>43</v>
      </c>
      <c r="S89" s="137">
        <f>0.1*S52</f>
        <v>73.7</v>
      </c>
      <c r="T89" s="129">
        <f>F89*S89</f>
        <v>22110</v>
      </c>
      <c r="U89" s="172">
        <f>C89*S89</f>
        <v>22110</v>
      </c>
      <c r="V89" s="137" t="s">
        <v>43</v>
      </c>
      <c r="W89" s="225" t="s">
        <v>43</v>
      </c>
      <c r="X89" s="248" t="s">
        <v>43</v>
      </c>
      <c r="Y89" s="172" t="s">
        <v>43</v>
      </c>
      <c r="Z89" s="137" t="s">
        <v>43</v>
      </c>
      <c r="AA89" s="129" t="s">
        <v>43</v>
      </c>
      <c r="AB89" s="138" t="s">
        <v>43</v>
      </c>
      <c r="AC89" s="147" t="s">
        <v>111</v>
      </c>
    </row>
    <row r="90" spans="1:33" s="3" customFormat="1" x14ac:dyDescent="0.25">
      <c r="A90" s="5">
        <v>12</v>
      </c>
      <c r="B90" s="102" t="s">
        <v>62</v>
      </c>
      <c r="C90" s="59">
        <v>600</v>
      </c>
      <c r="D90" s="50" t="s">
        <v>43</v>
      </c>
      <c r="E90" s="86" t="s">
        <v>43</v>
      </c>
      <c r="F90" s="85" t="s">
        <v>43</v>
      </c>
      <c r="G90" s="91" t="s">
        <v>43</v>
      </c>
      <c r="H90" s="224"/>
      <c r="I90" s="56">
        <v>600</v>
      </c>
      <c r="J90" s="224">
        <v>0</v>
      </c>
      <c r="K90" s="86">
        <v>0</v>
      </c>
      <c r="L90" s="224"/>
      <c r="M90" s="216" t="s">
        <v>43</v>
      </c>
      <c r="N90" s="217" t="s">
        <v>43</v>
      </c>
      <c r="P90" s="173" t="s">
        <v>43</v>
      </c>
      <c r="Q90" s="129" t="s">
        <v>43</v>
      </c>
      <c r="R90" s="172" t="s">
        <v>43</v>
      </c>
      <c r="S90" s="173" t="s">
        <v>43</v>
      </c>
      <c r="T90" s="129" t="s">
        <v>43</v>
      </c>
      <c r="U90" s="172" t="s">
        <v>43</v>
      </c>
      <c r="V90" s="137">
        <f>0.1*V52</f>
        <v>73.7</v>
      </c>
      <c r="W90" s="225">
        <f>I90*V90</f>
        <v>44220</v>
      </c>
      <c r="X90" s="248" t="s">
        <v>43</v>
      </c>
      <c r="Y90" s="172">
        <f>C90*V90</f>
        <v>44220</v>
      </c>
      <c r="Z90" s="137" t="s">
        <v>43</v>
      </c>
      <c r="AA90" s="129" t="s">
        <v>43</v>
      </c>
      <c r="AB90" s="138" t="s">
        <v>43</v>
      </c>
      <c r="AC90" s="147" t="s">
        <v>111</v>
      </c>
      <c r="AD90" s="1"/>
      <c r="AE90" s="1"/>
      <c r="AF90" s="1"/>
      <c r="AG90" s="1"/>
    </row>
    <row r="91" spans="1:33" x14ac:dyDescent="0.25">
      <c r="A91" s="5">
        <v>13</v>
      </c>
      <c r="B91" s="5" t="s">
        <v>50</v>
      </c>
      <c r="C91" s="44" t="s">
        <v>43</v>
      </c>
      <c r="D91" s="50" t="s">
        <v>43</v>
      </c>
      <c r="E91" s="86" t="s">
        <v>52</v>
      </c>
      <c r="F91" s="82" t="s">
        <v>43</v>
      </c>
      <c r="G91" s="91" t="s">
        <v>53</v>
      </c>
      <c r="H91" s="220"/>
      <c r="I91" s="50" t="s">
        <v>43</v>
      </c>
      <c r="J91" s="220" t="s">
        <v>43</v>
      </c>
      <c r="K91" s="86" t="s">
        <v>43</v>
      </c>
      <c r="L91" s="220"/>
      <c r="M91" s="82" t="s">
        <v>43</v>
      </c>
      <c r="N91" s="86" t="s">
        <v>43</v>
      </c>
      <c r="P91" s="173" t="s">
        <v>43</v>
      </c>
      <c r="Q91" s="129" t="s">
        <v>43</v>
      </c>
      <c r="R91" s="172" t="s">
        <v>43</v>
      </c>
      <c r="S91" s="173" t="s">
        <v>43</v>
      </c>
      <c r="T91" s="129" t="s">
        <v>43</v>
      </c>
      <c r="U91" s="172" t="s">
        <v>43</v>
      </c>
      <c r="V91" s="137" t="s">
        <v>43</v>
      </c>
      <c r="W91" s="225" t="s">
        <v>43</v>
      </c>
      <c r="X91" s="248" t="s">
        <v>43</v>
      </c>
      <c r="Y91" s="172" t="s">
        <v>43</v>
      </c>
      <c r="Z91" s="137" t="s">
        <v>43</v>
      </c>
      <c r="AA91" s="129" t="s">
        <v>43</v>
      </c>
      <c r="AB91" s="138" t="s">
        <v>43</v>
      </c>
    </row>
    <row r="92" spans="1:33" ht="16.5" thickBot="1" x14ac:dyDescent="0.3">
      <c r="A92" s="5">
        <v>14</v>
      </c>
      <c r="B92" s="5" t="s">
        <v>51</v>
      </c>
      <c r="C92" s="92" t="s">
        <v>43</v>
      </c>
      <c r="D92" s="93" t="s">
        <v>43</v>
      </c>
      <c r="E92" s="94" t="s">
        <v>53</v>
      </c>
      <c r="F92" s="95" t="s">
        <v>43</v>
      </c>
      <c r="G92" s="96" t="s">
        <v>43</v>
      </c>
      <c r="H92" s="241"/>
      <c r="I92" s="93" t="s">
        <v>43</v>
      </c>
      <c r="J92" s="241" t="s">
        <v>43</v>
      </c>
      <c r="K92" s="94" t="s">
        <v>43</v>
      </c>
      <c r="L92" s="241"/>
      <c r="M92" s="95" t="s">
        <v>43</v>
      </c>
      <c r="N92" s="94" t="s">
        <v>43</v>
      </c>
      <c r="P92" s="143" t="s">
        <v>43</v>
      </c>
      <c r="Q92" s="144" t="s">
        <v>43</v>
      </c>
      <c r="R92" s="154" t="s">
        <v>43</v>
      </c>
      <c r="S92" s="143" t="s">
        <v>43</v>
      </c>
      <c r="T92" s="144" t="s">
        <v>43</v>
      </c>
      <c r="U92" s="154" t="s">
        <v>43</v>
      </c>
      <c r="V92" s="143" t="s">
        <v>43</v>
      </c>
      <c r="W92" s="228" t="s">
        <v>43</v>
      </c>
      <c r="X92" s="252" t="s">
        <v>43</v>
      </c>
      <c r="Y92" s="247" t="s">
        <v>43</v>
      </c>
      <c r="Z92" s="146" t="s">
        <v>43</v>
      </c>
      <c r="AA92" s="144" t="s">
        <v>43</v>
      </c>
      <c r="AB92" s="145" t="s">
        <v>43</v>
      </c>
    </row>
    <row r="94" spans="1:33" x14ac:dyDescent="0.25">
      <c r="Q94" s="123">
        <f>SUM(Q76:Q92)</f>
        <v>153001.20000000001</v>
      </c>
      <c r="R94" s="123">
        <f>SUM(R76:R92)</f>
        <v>324353.7</v>
      </c>
      <c r="T94" s="123">
        <f>SUM(T76:T92)</f>
        <v>37587</v>
      </c>
      <c r="U94" s="123">
        <f>SUM(U76:U92)</f>
        <v>59697</v>
      </c>
      <c r="V94" s="123"/>
      <c r="W94" s="123">
        <f>SUM(W76:W92)</f>
        <v>70752</v>
      </c>
      <c r="X94" s="123">
        <f>SUM(X76:X93)</f>
        <v>2211</v>
      </c>
      <c r="Y94" s="123">
        <f>SUM(Y76:Y92)</f>
        <v>88440</v>
      </c>
      <c r="Z94" s="123"/>
      <c r="AA94" s="123">
        <f>SUM(AA76:AA92)</f>
        <v>4422</v>
      </c>
      <c r="AB94" s="123">
        <f>SUM(AB76:AB92)</f>
        <v>15477</v>
      </c>
    </row>
    <row r="96" spans="1:33" x14ac:dyDescent="0.25">
      <c r="Q96" s="157">
        <f>Q94/R94</f>
        <v>0.47171097477845947</v>
      </c>
      <c r="T96" s="157">
        <f>T94/U94</f>
        <v>0.62962962962962965</v>
      </c>
      <c r="W96" s="157">
        <f>(W94+X94)/Y94</f>
        <v>0.82499999999999996</v>
      </c>
      <c r="X96" s="157"/>
      <c r="AA96" s="157">
        <f>AA94/AB94</f>
        <v>0.2857142857142857</v>
      </c>
    </row>
    <row r="98" spans="11:29" x14ac:dyDescent="0.25">
      <c r="Q98" s="1" t="s">
        <v>42</v>
      </c>
      <c r="R98" s="1" t="s">
        <v>125</v>
      </c>
      <c r="T98" s="1" t="s">
        <v>42</v>
      </c>
      <c r="U98" s="1" t="s">
        <v>125</v>
      </c>
      <c r="W98" s="1" t="s">
        <v>42</v>
      </c>
      <c r="X98" s="1" t="s">
        <v>126</v>
      </c>
      <c r="Y98" s="1" t="s">
        <v>125</v>
      </c>
      <c r="AA98" s="1" t="s">
        <v>42</v>
      </c>
      <c r="AB98" s="1" t="s">
        <v>125</v>
      </c>
    </row>
    <row r="99" spans="11:29" x14ac:dyDescent="0.25">
      <c r="K99" s="1" t="s">
        <v>72</v>
      </c>
      <c r="N99" s="1" t="s">
        <v>127</v>
      </c>
      <c r="Q99" s="123">
        <f>Q22+Q47+Q70+Q94</f>
        <v>5214102.7</v>
      </c>
      <c r="R99" s="123" t="e">
        <f>R22+R47+R70+R94</f>
        <v>#REF!</v>
      </c>
      <c r="S99" s="157" t="e">
        <f>Q99/R99</f>
        <v>#REF!</v>
      </c>
      <c r="T99" s="123">
        <f>T22+T47+T70+T94</f>
        <v>2403723</v>
      </c>
      <c r="U99" s="123" t="e">
        <f>U22+U47+U70+U94</f>
        <v>#REF!</v>
      </c>
      <c r="V99" s="157" t="e">
        <f>T99/U99</f>
        <v>#REF!</v>
      </c>
      <c r="W99" s="123">
        <f>W22+W47+W70+W94</f>
        <v>863375</v>
      </c>
      <c r="X99" s="123" t="e">
        <f>X22+X47+X70+X94</f>
        <v>#REF!</v>
      </c>
      <c r="Y99" s="123" t="e">
        <f>Y22+Y47+Y70+Y94</f>
        <v>#REF!</v>
      </c>
      <c r="Z99" s="157" t="e">
        <f>W99/Y99</f>
        <v>#REF!</v>
      </c>
      <c r="AA99" s="123">
        <f>AA22+AA47+AA70+AA94</f>
        <v>640445</v>
      </c>
      <c r="AB99" s="123" t="e">
        <f>AB22+AB47+AB70+AB94</f>
        <v>#REF!</v>
      </c>
      <c r="AC99" s="157" t="e">
        <f>AA99/AB99</f>
        <v>#REF!</v>
      </c>
    </row>
    <row r="100" spans="11:29" x14ac:dyDescent="0.25">
      <c r="N100" s="1" t="s">
        <v>128</v>
      </c>
      <c r="Q100" s="494">
        <f>Q7+Q12+Q16+Q18+Q55+Q60+Q64+Q66</f>
        <v>966519</v>
      </c>
      <c r="R100" s="494">
        <f>R7+R12+R16+R18+R55+R60+R64+R66</f>
        <v>7073406</v>
      </c>
      <c r="S100" s="157">
        <f>Q100/R100</f>
        <v>0.13664124468466818</v>
      </c>
      <c r="T100" s="494">
        <f>T22+T70</f>
        <v>2255211</v>
      </c>
      <c r="U100" s="494" t="e">
        <f>U22+U70</f>
        <v>#REF!</v>
      </c>
      <c r="V100" s="157" t="e">
        <f>T100/U100</f>
        <v>#REF!</v>
      </c>
      <c r="W100" s="494">
        <f>W22+W70</f>
        <v>622973</v>
      </c>
      <c r="X100" s="494" t="e">
        <f>X22+X70</f>
        <v>#REF!</v>
      </c>
      <c r="Y100" s="494" t="e">
        <f>Y22+Y70</f>
        <v>#REF!</v>
      </c>
      <c r="Z100" s="157" t="e">
        <f>W100/Y100</f>
        <v>#REF!</v>
      </c>
      <c r="AA100" s="494">
        <f>AA22+AA70</f>
        <v>622973</v>
      </c>
      <c r="AB100" s="494" t="e">
        <f>AB22+AB70</f>
        <v>#REF!</v>
      </c>
      <c r="AC100" s="157" t="e">
        <f>AA100/AB100</f>
        <v>#REF!</v>
      </c>
    </row>
    <row r="101" spans="11:29" x14ac:dyDescent="0.25">
      <c r="N101" s="1" t="s">
        <v>129</v>
      </c>
      <c r="Q101" s="494">
        <f>Q99-Q100</f>
        <v>4247583.7</v>
      </c>
      <c r="R101" s="494" t="e">
        <f>R99-R100</f>
        <v>#REF!</v>
      </c>
      <c r="S101" s="157"/>
      <c r="T101" s="494">
        <f>T99-T100</f>
        <v>148512</v>
      </c>
      <c r="U101" s="494" t="e">
        <f>U99-U100</f>
        <v>#REF!</v>
      </c>
      <c r="V101" s="157"/>
      <c r="W101" s="494">
        <f>W99-W100</f>
        <v>240402</v>
      </c>
      <c r="X101" s="494" t="e">
        <f>X99-X100</f>
        <v>#REF!</v>
      </c>
      <c r="Y101" s="494" t="e">
        <f>Y99-Y100</f>
        <v>#REF!</v>
      </c>
      <c r="Z101" s="157"/>
      <c r="AA101" s="494">
        <f>AA99-AA100</f>
        <v>17472</v>
      </c>
      <c r="AB101" s="494" t="e">
        <f>AB99-AB100</f>
        <v>#REF!</v>
      </c>
      <c r="AC101" s="157"/>
    </row>
    <row r="102" spans="11:29" x14ac:dyDescent="0.25">
      <c r="Q102" s="123"/>
      <c r="R102" s="123"/>
      <c r="T102" s="123"/>
      <c r="U102" s="123"/>
      <c r="W102" s="123"/>
      <c r="X102" s="123"/>
      <c r="Y102" s="123"/>
      <c r="AA102" s="123"/>
      <c r="AB102" s="123"/>
    </row>
    <row r="103" spans="11:29" x14ac:dyDescent="0.25">
      <c r="Q103" s="123"/>
      <c r="R103" s="123"/>
      <c r="T103" s="123"/>
      <c r="U103" s="123"/>
      <c r="W103" s="123"/>
      <c r="X103" s="123"/>
      <c r="Y103" s="123"/>
      <c r="AA103" s="123"/>
      <c r="AB103" s="123"/>
    </row>
    <row r="104" spans="11:29" x14ac:dyDescent="0.25">
      <c r="Q104" s="1" t="s">
        <v>73</v>
      </c>
      <c r="W104" s="123"/>
      <c r="X104" s="123"/>
    </row>
    <row r="105" spans="11:29" x14ac:dyDescent="0.25">
      <c r="Q105" s="1" t="s">
        <v>74</v>
      </c>
    </row>
    <row r="106" spans="11:29" x14ac:dyDescent="0.25">
      <c r="Q106" s="1" t="s">
        <v>75</v>
      </c>
    </row>
    <row r="107" spans="11:29" x14ac:dyDescent="0.25">
      <c r="T107" s="157" t="e">
        <f>T99/U99</f>
        <v>#REF!</v>
      </c>
      <c r="W107" s="157" t="e">
        <f>W99/Y99</f>
        <v>#REF!</v>
      </c>
      <c r="X107" s="157"/>
      <c r="AA107" s="157" t="e">
        <f>AA99/AB99</f>
        <v>#REF!</v>
      </c>
    </row>
  </sheetData>
  <pageMargins left="0.23622047244094491" right="0.15748031496062992" top="0.44" bottom="0.28000000000000003" header="0.31496062992125984" footer="0.17"/>
  <pageSetup paperSize="9" scale="44" orientation="landscape" r:id="rId1"/>
  <rowBreaks count="1" manualBreakCount="1">
    <brk id="50" max="25" man="1"/>
  </rowBreaks>
  <colBreaks count="1" manualBreakCount="1"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view="pageBreakPreview" topLeftCell="A7" zoomScale="90" zoomScaleNormal="20" zoomScaleSheetLayoutView="90" workbookViewId="0">
      <selection activeCell="E2" sqref="E2"/>
    </sheetView>
  </sheetViews>
  <sheetFormatPr defaultRowHeight="15.75" x14ac:dyDescent="0.25"/>
  <cols>
    <col min="1" max="1" width="4.7109375" style="1" customWidth="1"/>
    <col min="2" max="2" width="31.7109375" style="1" customWidth="1"/>
    <col min="3" max="3" width="14.7109375" style="1" bestFit="1" customWidth="1"/>
    <col min="4" max="4" width="9.7109375" style="1" customWidth="1"/>
    <col min="5" max="5" width="10.140625" style="1" customWidth="1"/>
    <col min="6" max="6" width="10" style="1" customWidth="1"/>
    <col min="7" max="7" width="10.85546875" style="1" bestFit="1" customWidth="1"/>
    <col min="8" max="8" width="12.5703125" style="1" customWidth="1"/>
    <col min="9" max="9" width="8.42578125" style="1" customWidth="1"/>
    <col min="10" max="10" width="11.85546875" style="1" bestFit="1" customWidth="1"/>
    <col min="11" max="11" width="4.42578125" style="1" customWidth="1"/>
    <col min="12" max="12" width="10.42578125" style="1" bestFit="1" customWidth="1"/>
    <col min="13" max="14" width="14.5703125" style="1" bestFit="1" customWidth="1"/>
    <col min="15" max="15" width="6.42578125" style="1" customWidth="1"/>
    <col min="16" max="17" width="14.5703125" style="1" customWidth="1"/>
    <col min="18" max="18" width="6.42578125" style="1" bestFit="1" customWidth="1"/>
    <col min="19" max="19" width="12.7109375" style="1" bestFit="1" customWidth="1"/>
    <col min="20" max="20" width="12.7109375" style="1" customWidth="1"/>
    <col min="21" max="21" width="14.5703125" style="1" bestFit="1" customWidth="1"/>
    <col min="22" max="22" width="14.42578125" style="1" bestFit="1" customWidth="1"/>
    <col min="23" max="23" width="15.42578125" style="1" bestFit="1" customWidth="1"/>
    <col min="24" max="24" width="9.7109375" style="1" bestFit="1" customWidth="1"/>
    <col min="25" max="25" width="16.85546875" style="1" bestFit="1" customWidth="1"/>
    <col min="26" max="26" width="9.140625" style="1"/>
    <col min="27" max="27" width="10.42578125" style="1" bestFit="1" customWidth="1"/>
    <col min="28" max="28" width="31.140625" style="1" bestFit="1" customWidth="1"/>
    <col min="29" max="29" width="14.7109375" style="1" bestFit="1" customWidth="1"/>
    <col min="30" max="30" width="9.7109375" style="1" bestFit="1" customWidth="1"/>
    <col min="31" max="31" width="16.85546875" style="1" bestFit="1" customWidth="1"/>
    <col min="32" max="16384" width="9.140625" style="1"/>
  </cols>
  <sheetData>
    <row r="1" spans="1:31" x14ac:dyDescent="0.25">
      <c r="B1" s="39" t="s">
        <v>22</v>
      </c>
    </row>
    <row r="3" spans="1:31" x14ac:dyDescent="0.25">
      <c r="A3" s="11"/>
      <c r="B3" s="37" t="s">
        <v>20</v>
      </c>
      <c r="C3" s="12"/>
      <c r="D3" s="12"/>
      <c r="E3" s="11"/>
      <c r="F3" s="11"/>
      <c r="G3" s="11"/>
      <c r="H3" s="11"/>
      <c r="I3" s="11"/>
      <c r="J3" s="11"/>
      <c r="AA3" s="11"/>
      <c r="AB3" s="11"/>
      <c r="AC3" s="12"/>
      <c r="AD3" s="11"/>
      <c r="AE3" s="11"/>
    </row>
    <row r="4" spans="1:31" ht="16.5" thickBot="1" x14ac:dyDescent="0.3">
      <c r="A4" s="3"/>
      <c r="B4" s="3"/>
      <c r="C4" s="71"/>
      <c r="D4" s="72">
        <v>0.45</v>
      </c>
      <c r="E4" s="72"/>
      <c r="F4" s="72">
        <v>0.4</v>
      </c>
      <c r="G4" s="72">
        <v>0.1</v>
      </c>
      <c r="H4" s="72"/>
      <c r="I4" s="72">
        <v>0.05</v>
      </c>
      <c r="J4" s="72"/>
      <c r="L4" s="1">
        <v>1000</v>
      </c>
      <c r="N4" s="101" t="s">
        <v>77</v>
      </c>
      <c r="O4" s="1">
        <f>L4</f>
        <v>1000</v>
      </c>
      <c r="P4" s="101"/>
      <c r="Q4" s="101" t="s">
        <v>102</v>
      </c>
      <c r="R4" s="1">
        <f>L4</f>
        <v>1000</v>
      </c>
      <c r="U4" s="101" t="s">
        <v>66</v>
      </c>
      <c r="Z4" s="11"/>
      <c r="AA4" s="12"/>
      <c r="AD4" s="19"/>
      <c r="AE4" s="19"/>
    </row>
    <row r="5" spans="1:31" ht="45" x14ac:dyDescent="0.25">
      <c r="A5" s="295"/>
      <c r="B5" s="296" t="s">
        <v>6</v>
      </c>
      <c r="C5" s="297" t="s">
        <v>36</v>
      </c>
      <c r="D5" s="254" t="s">
        <v>42</v>
      </c>
      <c r="E5" s="255" t="s">
        <v>162</v>
      </c>
      <c r="F5" s="574" t="s">
        <v>42</v>
      </c>
      <c r="G5" s="574" t="s">
        <v>165</v>
      </c>
      <c r="H5" s="575" t="s">
        <v>163</v>
      </c>
      <c r="I5" s="583" t="s">
        <v>42</v>
      </c>
      <c r="J5" s="584" t="s">
        <v>164</v>
      </c>
      <c r="L5" s="115" t="s">
        <v>64</v>
      </c>
      <c r="M5" s="135" t="s">
        <v>42</v>
      </c>
      <c r="N5" s="116" t="s">
        <v>65</v>
      </c>
      <c r="O5" s="115" t="s">
        <v>64</v>
      </c>
      <c r="P5" s="135" t="s">
        <v>42</v>
      </c>
      <c r="Q5" s="116" t="s">
        <v>65</v>
      </c>
      <c r="R5" s="417" t="s">
        <v>64</v>
      </c>
      <c r="S5" s="418" t="s">
        <v>42</v>
      </c>
      <c r="T5" s="419" t="s">
        <v>103</v>
      </c>
      <c r="U5" s="629" t="s">
        <v>65</v>
      </c>
    </row>
    <row r="6" spans="1:31" s="10" customFormat="1" x14ac:dyDescent="0.25">
      <c r="A6" s="298"/>
      <c r="B6" s="283" t="s">
        <v>10</v>
      </c>
      <c r="C6" s="284">
        <f>'for Dist.'!C6</f>
        <v>2880</v>
      </c>
      <c r="D6" s="256">
        <f>(C25-1820-200)*D4+(C26+C28+C32)</f>
        <v>2811</v>
      </c>
      <c r="E6" s="257">
        <f>C6-D6</f>
        <v>69</v>
      </c>
      <c r="F6" s="576">
        <f>(C25-1820-200)*F4</f>
        <v>552</v>
      </c>
      <c r="G6" s="576">
        <f>(E6)*G4</f>
        <v>6.9</v>
      </c>
      <c r="H6" s="577">
        <f>E6-F6-G6</f>
        <v>-489.9</v>
      </c>
      <c r="I6" s="585">
        <f>(C25-1820-200)*I4</f>
        <v>69</v>
      </c>
      <c r="J6" s="586">
        <f>H6-I6</f>
        <v>-558.9</v>
      </c>
      <c r="L6" s="407">
        <f>L4*0.5</f>
        <v>500</v>
      </c>
      <c r="M6" s="124">
        <f>D6*L6</f>
        <v>1405500</v>
      </c>
      <c r="N6" s="113">
        <f>C6*L6</f>
        <v>1440000</v>
      </c>
      <c r="O6" s="127">
        <f>L6</f>
        <v>500</v>
      </c>
      <c r="P6" s="124">
        <f>F6*O6</f>
        <v>276000</v>
      </c>
      <c r="Q6" s="113">
        <f>E6*O6</f>
        <v>34500</v>
      </c>
      <c r="R6" s="421">
        <f>L6</f>
        <v>500</v>
      </c>
      <c r="S6" s="422">
        <f>I6*R6</f>
        <v>34500</v>
      </c>
      <c r="T6" s="423">
        <f>G6*R6</f>
        <v>3450</v>
      </c>
      <c r="U6" s="630">
        <f>H6*R6</f>
        <v>-244950</v>
      </c>
      <c r="V6" s="627" t="s">
        <v>197</v>
      </c>
    </row>
    <row r="7" spans="1:31" x14ac:dyDescent="0.25">
      <c r="A7" s="299"/>
      <c r="B7" s="619" t="s">
        <v>166</v>
      </c>
      <c r="C7" s="286" t="str">
        <f>'for Dist.'!C7</f>
        <v>Valued at 4,900</v>
      </c>
      <c r="D7" s="258"/>
      <c r="E7" s="259"/>
      <c r="F7" s="578"/>
      <c r="G7" s="578"/>
      <c r="H7" s="579"/>
      <c r="I7" s="587"/>
      <c r="J7" s="588"/>
      <c r="L7" s="408"/>
      <c r="M7" s="125"/>
      <c r="N7" s="111"/>
      <c r="O7" s="156"/>
      <c r="P7" s="125"/>
      <c r="Q7" s="111"/>
      <c r="R7" s="425"/>
      <c r="S7" s="426"/>
      <c r="T7" s="427"/>
      <c r="U7" s="631"/>
    </row>
    <row r="8" spans="1:31" x14ac:dyDescent="0.25">
      <c r="A8" s="299"/>
      <c r="B8" s="287" t="s">
        <v>12</v>
      </c>
      <c r="C8" s="288" t="str">
        <f>'for Dist.'!C9</f>
        <v xml:space="preserve">save 1640 </v>
      </c>
      <c r="D8" s="258"/>
      <c r="E8" s="259"/>
      <c r="F8" s="578"/>
      <c r="G8" s="578"/>
      <c r="H8" s="579"/>
      <c r="I8" s="587"/>
      <c r="J8" s="588"/>
      <c r="L8" s="409"/>
      <c r="M8" s="125"/>
      <c r="N8" s="111"/>
      <c r="O8" s="118"/>
      <c r="P8" s="125"/>
      <c r="Q8" s="111"/>
      <c r="R8" s="429"/>
      <c r="S8" s="426"/>
      <c r="T8" s="427"/>
      <c r="U8" s="631"/>
    </row>
    <row r="9" spans="1:31" x14ac:dyDescent="0.25">
      <c r="A9" s="299"/>
      <c r="B9" s="287" t="s">
        <v>35</v>
      </c>
      <c r="C9" s="289"/>
      <c r="D9" s="260"/>
      <c r="E9" s="259"/>
      <c r="F9" s="578"/>
      <c r="G9" s="578"/>
      <c r="H9" s="579"/>
      <c r="I9" s="587"/>
      <c r="J9" s="588"/>
      <c r="L9" s="409"/>
      <c r="M9" s="125"/>
      <c r="N9" s="111"/>
      <c r="O9" s="118"/>
      <c r="P9" s="125"/>
      <c r="Q9" s="111"/>
      <c r="R9" s="429"/>
      <c r="S9" s="426"/>
      <c r="T9" s="427"/>
      <c r="U9" s="631"/>
    </row>
    <row r="10" spans="1:31" x14ac:dyDescent="0.25">
      <c r="A10" s="300"/>
      <c r="B10" s="287" t="s">
        <v>54</v>
      </c>
      <c r="C10" s="289"/>
      <c r="D10" s="260"/>
      <c r="E10" s="259"/>
      <c r="F10" s="578"/>
      <c r="G10" s="578"/>
      <c r="H10" s="579"/>
      <c r="I10" s="587"/>
      <c r="J10" s="588"/>
      <c r="L10" s="410"/>
      <c r="M10" s="126"/>
      <c r="N10" s="114"/>
      <c r="O10" s="119"/>
      <c r="P10" s="126"/>
      <c r="Q10" s="114"/>
      <c r="R10" s="430"/>
      <c r="S10" s="431"/>
      <c r="T10" s="432"/>
      <c r="U10" s="632"/>
    </row>
    <row r="11" spans="1:31" x14ac:dyDescent="0.25">
      <c r="A11" s="301"/>
      <c r="B11" s="292" t="s">
        <v>14</v>
      </c>
      <c r="C11" s="293">
        <f>'for Dist.'!C11</f>
        <v>2330</v>
      </c>
      <c r="D11" s="256">
        <f>(C25-1820)*D4+(C26+C28)</f>
        <v>1461</v>
      </c>
      <c r="E11" s="257">
        <f>C11-D11</f>
        <v>869</v>
      </c>
      <c r="F11" s="576">
        <f>(C25-1820)*F4</f>
        <v>632</v>
      </c>
      <c r="G11" s="576">
        <f>(E11)*G4</f>
        <v>86.9</v>
      </c>
      <c r="H11" s="577">
        <f>E11-F11-G11</f>
        <v>150.1</v>
      </c>
      <c r="I11" s="585">
        <f>(C25-1820)*I4</f>
        <v>79</v>
      </c>
      <c r="J11" s="586">
        <f>H11-I11</f>
        <v>71.099999999999994</v>
      </c>
      <c r="L11" s="409">
        <f>L4*0.3</f>
        <v>300</v>
      </c>
      <c r="M11" s="124">
        <f>D11*L11</f>
        <v>438300</v>
      </c>
      <c r="N11" s="113">
        <f>C11*L11</f>
        <v>699000</v>
      </c>
      <c r="O11" s="118">
        <f>L11</f>
        <v>300</v>
      </c>
      <c r="P11" s="124">
        <f>F11*O11</f>
        <v>189600</v>
      </c>
      <c r="Q11" s="113">
        <f>E11*O11</f>
        <v>260700</v>
      </c>
      <c r="R11" s="429">
        <f>O11</f>
        <v>300</v>
      </c>
      <c r="S11" s="422">
        <f>I11*R11</f>
        <v>23700</v>
      </c>
      <c r="T11" s="423">
        <f>G11*R11</f>
        <v>26070</v>
      </c>
      <c r="U11" s="630">
        <f>H11*R11</f>
        <v>45030</v>
      </c>
      <c r="V11" s="627" t="s">
        <v>91</v>
      </c>
    </row>
    <row r="12" spans="1:31" x14ac:dyDescent="0.25">
      <c r="A12" s="299"/>
      <c r="B12" s="648" t="s">
        <v>166</v>
      </c>
      <c r="C12" s="286" t="str">
        <f>'for Dist.'!C12</f>
        <v>Valued at 4,150</v>
      </c>
      <c r="D12" s="258"/>
      <c r="E12" s="259"/>
      <c r="F12" s="578"/>
      <c r="G12" s="578"/>
      <c r="H12" s="579"/>
      <c r="I12" s="587"/>
      <c r="J12" s="588"/>
      <c r="L12" s="409"/>
      <c r="M12" s="125"/>
      <c r="N12" s="111"/>
      <c r="O12" s="118"/>
      <c r="P12" s="125"/>
      <c r="Q12" s="111"/>
      <c r="R12" s="429"/>
      <c r="S12" s="426"/>
      <c r="T12" s="427"/>
      <c r="U12" s="631"/>
    </row>
    <row r="13" spans="1:31" x14ac:dyDescent="0.25">
      <c r="A13" s="299"/>
      <c r="B13" s="619" t="s">
        <v>12</v>
      </c>
      <c r="C13" s="286" t="str">
        <f>'for Dist.'!C14</f>
        <v xml:space="preserve">save 1,820 </v>
      </c>
      <c r="D13" s="258"/>
      <c r="E13" s="259"/>
      <c r="F13" s="578"/>
      <c r="G13" s="578"/>
      <c r="H13" s="579"/>
      <c r="I13" s="587"/>
      <c r="J13" s="588"/>
      <c r="L13" s="409"/>
      <c r="M13" s="125"/>
      <c r="N13" s="111"/>
      <c r="O13" s="118"/>
      <c r="P13" s="125"/>
      <c r="Q13" s="111"/>
      <c r="R13" s="429"/>
      <c r="S13" s="426"/>
      <c r="T13" s="427"/>
      <c r="U13" s="631"/>
    </row>
    <row r="14" spans="1:31" x14ac:dyDescent="0.25">
      <c r="A14" s="300"/>
      <c r="B14" s="294" t="s">
        <v>35</v>
      </c>
      <c r="C14" s="288"/>
      <c r="D14" s="258"/>
      <c r="E14" s="262"/>
      <c r="F14" s="580"/>
      <c r="G14" s="580"/>
      <c r="H14" s="579"/>
      <c r="I14" s="589"/>
      <c r="J14" s="590"/>
      <c r="L14" s="409"/>
      <c r="M14" s="125"/>
      <c r="N14" s="111"/>
      <c r="O14" s="118"/>
      <c r="P14" s="125"/>
      <c r="Q14" s="111"/>
      <c r="R14" s="429"/>
      <c r="S14" s="426"/>
      <c r="T14" s="427"/>
      <c r="U14" s="631"/>
    </row>
    <row r="15" spans="1:31" x14ac:dyDescent="0.25">
      <c r="A15" s="301"/>
      <c r="B15" s="292" t="s">
        <v>23</v>
      </c>
      <c r="C15" s="293">
        <f>'for Dist.'!C15</f>
        <v>1580</v>
      </c>
      <c r="D15" s="256">
        <f>(C25-1820)*D4</f>
        <v>711</v>
      </c>
      <c r="E15" s="257">
        <f>C15-D15</f>
        <v>869</v>
      </c>
      <c r="F15" s="576">
        <f>(C25-1820)*F4</f>
        <v>632</v>
      </c>
      <c r="G15" s="576">
        <f>(E15)*G4</f>
        <v>86.9</v>
      </c>
      <c r="H15" s="577">
        <f>E15-F15-G15</f>
        <v>150.1</v>
      </c>
      <c r="I15" s="585">
        <f>(C25-1820)*I4</f>
        <v>79</v>
      </c>
      <c r="J15" s="586">
        <f>H15-I15</f>
        <v>71.099999999999994</v>
      </c>
      <c r="L15" s="411">
        <f>L4*0.2</f>
        <v>200</v>
      </c>
      <c r="M15" s="124">
        <f>D15*L15</f>
        <v>142200</v>
      </c>
      <c r="N15" s="113">
        <f>C15*L15</f>
        <v>316000</v>
      </c>
      <c r="O15" s="195">
        <f>L15</f>
        <v>200</v>
      </c>
      <c r="P15" s="124">
        <f>F15*O15</f>
        <v>126400</v>
      </c>
      <c r="Q15" s="113">
        <f>E15*O15</f>
        <v>173800</v>
      </c>
      <c r="R15" s="434">
        <f>O15</f>
        <v>200</v>
      </c>
      <c r="S15" s="422">
        <f>I15*R15</f>
        <v>15800</v>
      </c>
      <c r="T15" s="423">
        <f>G15*R15</f>
        <v>17380</v>
      </c>
      <c r="U15" s="630">
        <f>H15*R15</f>
        <v>30020</v>
      </c>
      <c r="V15" s="628" t="s">
        <v>92</v>
      </c>
      <c r="W15" s="194"/>
      <c r="X15" s="194"/>
      <c r="Y15" s="194"/>
    </row>
    <row r="16" spans="1:31" x14ac:dyDescent="0.25">
      <c r="A16" s="299"/>
      <c r="B16" s="648" t="s">
        <v>166</v>
      </c>
      <c r="C16" s="288" t="str">
        <f>'for Dist.'!C16</f>
        <v>Valued at 3,400</v>
      </c>
      <c r="D16" s="260"/>
      <c r="E16" s="265"/>
      <c r="F16" s="581"/>
      <c r="G16" s="593"/>
      <c r="H16" s="597"/>
      <c r="I16" s="595"/>
      <c r="J16" s="591"/>
      <c r="L16" s="412"/>
      <c r="M16" s="214"/>
      <c r="N16" s="215"/>
      <c r="O16" s="213"/>
      <c r="P16" s="214"/>
      <c r="Q16" s="215"/>
      <c r="R16" s="429"/>
      <c r="S16" s="435"/>
      <c r="T16" s="436"/>
      <c r="U16" s="633"/>
      <c r="V16" s="194"/>
      <c r="W16" s="194"/>
      <c r="X16" s="194"/>
      <c r="Y16" s="194"/>
    </row>
    <row r="17" spans="1:22" ht="16.5" thickBot="1" x14ac:dyDescent="0.3">
      <c r="A17" s="302"/>
      <c r="B17" s="303"/>
      <c r="C17" s="304" t="str">
        <f>'for Dist.'!C17</f>
        <v xml:space="preserve">save 1,820 </v>
      </c>
      <c r="D17" s="266"/>
      <c r="E17" s="267"/>
      <c r="F17" s="582"/>
      <c r="G17" s="594"/>
      <c r="H17" s="598"/>
      <c r="I17" s="596"/>
      <c r="J17" s="592"/>
      <c r="L17" s="412"/>
      <c r="M17" s="405"/>
      <c r="N17" s="406"/>
      <c r="O17" s="213"/>
      <c r="P17" s="405"/>
      <c r="Q17" s="406"/>
      <c r="R17" s="429"/>
      <c r="S17" s="426"/>
      <c r="T17" s="427"/>
      <c r="U17" s="631"/>
    </row>
    <row r="18" spans="1:22" ht="16.5" thickBot="1" x14ac:dyDescent="0.3">
      <c r="L18" s="413">
        <f>SUM(L6:L15)</f>
        <v>1000</v>
      </c>
      <c r="M18" s="414">
        <f>SUM(M6:M17)</f>
        <v>1986000</v>
      </c>
      <c r="N18" s="415">
        <f>SUM(N6:N17)</f>
        <v>2455000</v>
      </c>
      <c r="O18" s="416"/>
      <c r="P18" s="414">
        <f>SUM(P6:P17)</f>
        <v>592000</v>
      </c>
      <c r="Q18" s="415">
        <f>SUM(Q6:Q17)</f>
        <v>469000</v>
      </c>
      <c r="R18" s="438"/>
      <c r="S18" s="439">
        <f>SUM(S6:S17)</f>
        <v>74000</v>
      </c>
      <c r="T18" s="440">
        <f>SUM(T6:T17)</f>
        <v>46900</v>
      </c>
      <c r="U18" s="634">
        <f>SUM(U6:U17)</f>
        <v>-169900</v>
      </c>
    </row>
    <row r="19" spans="1:22" x14ac:dyDescent="0.25"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2" x14ac:dyDescent="0.25">
      <c r="L20" s="123"/>
      <c r="M20" s="157">
        <f>M18/N18</f>
        <v>0.80896130346232176</v>
      </c>
      <c r="P20" s="157">
        <f>P18/Q18</f>
        <v>1.2622601279317698</v>
      </c>
      <c r="S20" s="157">
        <f>(S18+T18)/U18</f>
        <v>-0.7115950559152443</v>
      </c>
      <c r="T20" s="157"/>
    </row>
    <row r="21" spans="1:22" x14ac:dyDescent="0.25"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2" x14ac:dyDescent="0.25">
      <c r="B22" s="39" t="s">
        <v>46</v>
      </c>
    </row>
    <row r="23" spans="1:22" ht="16.5" thickBot="1" x14ac:dyDescent="0.3">
      <c r="A23" s="3"/>
      <c r="B23" s="3"/>
      <c r="C23" s="3"/>
      <c r="D23" s="42">
        <v>0.45</v>
      </c>
      <c r="E23" s="3"/>
      <c r="F23" s="42">
        <v>0.4</v>
      </c>
      <c r="G23" s="42">
        <v>0.1</v>
      </c>
      <c r="H23" s="3"/>
      <c r="I23" s="42">
        <v>0.05</v>
      </c>
      <c r="J23" s="42"/>
      <c r="N23" s="101" t="s">
        <v>77</v>
      </c>
      <c r="Q23" s="101" t="s">
        <v>102</v>
      </c>
      <c r="U23" s="101" t="s">
        <v>66</v>
      </c>
    </row>
    <row r="24" spans="1:22" s="3" customFormat="1" ht="30" x14ac:dyDescent="0.25">
      <c r="A24" s="308"/>
      <c r="B24" s="309" t="s">
        <v>6</v>
      </c>
      <c r="C24" s="310" t="s">
        <v>36</v>
      </c>
      <c r="D24" s="254" t="s">
        <v>42</v>
      </c>
      <c r="E24" s="255" t="s">
        <v>37</v>
      </c>
      <c r="F24" s="254" t="s">
        <v>42</v>
      </c>
      <c r="G24" s="312" t="s">
        <v>103</v>
      </c>
      <c r="H24" s="255" t="s">
        <v>38</v>
      </c>
      <c r="I24" s="311" t="s">
        <v>42</v>
      </c>
      <c r="J24" s="311" t="s">
        <v>39</v>
      </c>
      <c r="L24" s="115" t="s">
        <v>68</v>
      </c>
      <c r="M24" s="135" t="s">
        <v>42</v>
      </c>
      <c r="N24" s="116" t="s">
        <v>65</v>
      </c>
      <c r="O24" s="115" t="s">
        <v>68</v>
      </c>
      <c r="P24" s="135" t="s">
        <v>42</v>
      </c>
      <c r="Q24" s="116" t="s">
        <v>65</v>
      </c>
      <c r="R24" s="417" t="s">
        <v>68</v>
      </c>
      <c r="S24" s="442" t="s">
        <v>42</v>
      </c>
      <c r="T24" s="443" t="s">
        <v>103</v>
      </c>
      <c r="U24" s="444" t="s">
        <v>65</v>
      </c>
    </row>
    <row r="25" spans="1:22" s="3" customFormat="1" x14ac:dyDescent="0.25">
      <c r="A25" s="353">
        <v>1</v>
      </c>
      <c r="B25" s="645" t="s">
        <v>206</v>
      </c>
      <c r="C25" s="354">
        <v>3400</v>
      </c>
      <c r="D25" s="263">
        <f>C25*D23</f>
        <v>1530</v>
      </c>
      <c r="E25" s="264">
        <f>C25-D25</f>
        <v>1870</v>
      </c>
      <c r="F25" s="268">
        <f>C25*F23</f>
        <v>1360</v>
      </c>
      <c r="G25" s="313">
        <f>G23*E25</f>
        <v>187</v>
      </c>
      <c r="H25" s="264">
        <f>E25-F25-G25</f>
        <v>323</v>
      </c>
      <c r="I25" s="314">
        <f>C25*I23</f>
        <v>170</v>
      </c>
      <c r="J25" s="314">
        <f>H25-I25</f>
        <v>153</v>
      </c>
      <c r="L25" s="127">
        <v>0</v>
      </c>
      <c r="M25" s="124">
        <f>E25*L25</f>
        <v>0</v>
      </c>
      <c r="N25" s="113">
        <v>0</v>
      </c>
      <c r="O25" s="127">
        <v>0</v>
      </c>
      <c r="P25" s="124">
        <f>I25*O25</f>
        <v>0</v>
      </c>
      <c r="Q25" s="113">
        <v>0</v>
      </c>
      <c r="R25" s="421">
        <v>0</v>
      </c>
      <c r="S25" s="445">
        <f>I25*R25</f>
        <v>0</v>
      </c>
      <c r="T25" s="446">
        <v>0</v>
      </c>
      <c r="U25" s="447">
        <f>E25*R25</f>
        <v>0</v>
      </c>
    </row>
    <row r="26" spans="1:22" s="3" customFormat="1" x14ac:dyDescent="0.25">
      <c r="A26" s="353">
        <v>2</v>
      </c>
      <c r="B26" s="355" t="s">
        <v>0</v>
      </c>
      <c r="C26" s="356">
        <f>'for Dist.'!C24</f>
        <v>200</v>
      </c>
      <c r="D26" s="337">
        <v>200</v>
      </c>
      <c r="E26" s="338">
        <v>0</v>
      </c>
      <c r="F26" s="339" t="s">
        <v>43</v>
      </c>
      <c r="G26" s="316"/>
      <c r="H26" s="338" t="s">
        <v>43</v>
      </c>
      <c r="I26" s="317" t="s">
        <v>43</v>
      </c>
      <c r="J26" s="317" t="s">
        <v>43</v>
      </c>
      <c r="L26" s="137">
        <f>(L11+L15)*0.5</f>
        <v>250</v>
      </c>
      <c r="M26" s="129">
        <f>D26*L26</f>
        <v>50000</v>
      </c>
      <c r="N26" s="148">
        <f>C26*L26</f>
        <v>50000</v>
      </c>
      <c r="O26" s="137" t="s">
        <v>43</v>
      </c>
      <c r="P26" s="129" t="s">
        <v>43</v>
      </c>
      <c r="Q26" s="148" t="s">
        <v>43</v>
      </c>
      <c r="R26" s="448" t="s">
        <v>43</v>
      </c>
      <c r="S26" s="449" t="s">
        <v>43</v>
      </c>
      <c r="T26" s="450" t="s">
        <v>43</v>
      </c>
      <c r="U26" s="451" t="s">
        <v>43</v>
      </c>
      <c r="V26" s="147" t="s">
        <v>69</v>
      </c>
    </row>
    <row r="27" spans="1:22" s="3" customFormat="1" x14ac:dyDescent="0.25">
      <c r="A27" s="357">
        <v>3</v>
      </c>
      <c r="B27" s="618" t="s">
        <v>187</v>
      </c>
      <c r="C27" s="358">
        <f>'for Dist.'!C25</f>
        <v>500</v>
      </c>
      <c r="D27" s="263">
        <f>C27*D23</f>
        <v>225</v>
      </c>
      <c r="E27" s="264">
        <f>C27-D27</f>
        <v>275</v>
      </c>
      <c r="F27" s="268">
        <f>C27*F23</f>
        <v>200</v>
      </c>
      <c r="G27" s="313">
        <f>I27*G23</f>
        <v>2.5</v>
      </c>
      <c r="H27" s="264">
        <f>E27-F27</f>
        <v>75</v>
      </c>
      <c r="I27" s="314">
        <f>C27*I23</f>
        <v>25</v>
      </c>
      <c r="J27" s="314">
        <f>H27-I27</f>
        <v>50</v>
      </c>
      <c r="L27" s="137">
        <f>0.1*L4</f>
        <v>100</v>
      </c>
      <c r="M27" s="129">
        <f>D27*L27</f>
        <v>22500</v>
      </c>
      <c r="N27" s="148">
        <f>C27*L27</f>
        <v>50000</v>
      </c>
      <c r="O27" s="137">
        <f>0.1*O4</f>
        <v>100</v>
      </c>
      <c r="P27" s="129">
        <f>F27*L27</f>
        <v>20000</v>
      </c>
      <c r="Q27" s="148">
        <f>E27*O27</f>
        <v>27500</v>
      </c>
      <c r="R27" s="448">
        <f>0.1*R4</f>
        <v>100</v>
      </c>
      <c r="S27" s="449">
        <f>I27*R27</f>
        <v>2500</v>
      </c>
      <c r="T27" s="450">
        <f>G27*R27</f>
        <v>250</v>
      </c>
      <c r="U27" s="451">
        <f>H27*R27</f>
        <v>7500</v>
      </c>
      <c r="V27" s="147" t="s">
        <v>93</v>
      </c>
    </row>
    <row r="28" spans="1:22" s="3" customFormat="1" x14ac:dyDescent="0.25">
      <c r="A28" s="359">
        <v>4</v>
      </c>
      <c r="B28" s="620" t="s">
        <v>189</v>
      </c>
      <c r="C28" s="361">
        <f>'for Dist.'!C27</f>
        <v>550</v>
      </c>
      <c r="D28" s="340">
        <v>550</v>
      </c>
      <c r="E28" s="338">
        <v>0</v>
      </c>
      <c r="F28" s="339" t="s">
        <v>43</v>
      </c>
      <c r="G28" s="319" t="s">
        <v>43</v>
      </c>
      <c r="H28" s="338" t="s">
        <v>43</v>
      </c>
      <c r="I28" s="317" t="s">
        <v>43</v>
      </c>
      <c r="J28" s="317" t="s">
        <v>43</v>
      </c>
      <c r="L28" s="137">
        <f>0.3*L15</f>
        <v>60</v>
      </c>
      <c r="M28" s="129">
        <f>D28*L28</f>
        <v>33000</v>
      </c>
      <c r="N28" s="148">
        <f>C28*L28</f>
        <v>33000</v>
      </c>
      <c r="O28" s="137" t="s">
        <v>43</v>
      </c>
      <c r="P28" s="129" t="s">
        <v>43</v>
      </c>
      <c r="Q28" s="148" t="s">
        <v>43</v>
      </c>
      <c r="R28" s="448" t="s">
        <v>43</v>
      </c>
      <c r="S28" s="449" t="s">
        <v>43</v>
      </c>
      <c r="T28" s="450" t="s">
        <v>43</v>
      </c>
      <c r="U28" s="451" t="s">
        <v>43</v>
      </c>
      <c r="V28" s="147" t="s">
        <v>71</v>
      </c>
    </row>
    <row r="29" spans="1:22" s="3" customFormat="1" x14ac:dyDescent="0.25">
      <c r="A29" s="359">
        <v>5</v>
      </c>
      <c r="B29" s="360" t="s">
        <v>58</v>
      </c>
      <c r="C29" s="361">
        <v>150</v>
      </c>
      <c r="D29" s="341" t="s">
        <v>43</v>
      </c>
      <c r="E29" s="342" t="s">
        <v>43</v>
      </c>
      <c r="F29" s="341" t="s">
        <v>43</v>
      </c>
      <c r="G29" s="319" t="s">
        <v>43</v>
      </c>
      <c r="H29" s="342" t="s">
        <v>43</v>
      </c>
      <c r="I29" s="317">
        <v>150</v>
      </c>
      <c r="J29" s="317">
        <v>0</v>
      </c>
      <c r="L29" s="137" t="s">
        <v>43</v>
      </c>
      <c r="M29" s="129" t="s">
        <v>43</v>
      </c>
      <c r="N29" s="148" t="s">
        <v>43</v>
      </c>
      <c r="O29" s="137" t="s">
        <v>43</v>
      </c>
      <c r="P29" s="129" t="s">
        <v>43</v>
      </c>
      <c r="Q29" s="148" t="s">
        <v>43</v>
      </c>
      <c r="R29" s="448">
        <f>R6*0.2</f>
        <v>100</v>
      </c>
      <c r="S29" s="449">
        <f>I29*R29</f>
        <v>15000</v>
      </c>
      <c r="T29" s="450" t="s">
        <v>43</v>
      </c>
      <c r="U29" s="451">
        <f>C29*R29</f>
        <v>15000</v>
      </c>
      <c r="V29" s="147" t="s">
        <v>92</v>
      </c>
    </row>
    <row r="30" spans="1:22" s="3" customFormat="1" x14ac:dyDescent="0.25">
      <c r="A30" s="362">
        <v>6</v>
      </c>
      <c r="B30" s="360" t="s">
        <v>8</v>
      </c>
      <c r="C30" s="361">
        <f>'for Dist.'!C28</f>
        <v>280</v>
      </c>
      <c r="D30" s="340">
        <v>280</v>
      </c>
      <c r="E30" s="338">
        <v>0</v>
      </c>
      <c r="F30" s="339" t="s">
        <v>43</v>
      </c>
      <c r="G30" s="319" t="s">
        <v>43</v>
      </c>
      <c r="H30" s="338" t="s">
        <v>43</v>
      </c>
      <c r="I30" s="317" t="s">
        <v>43</v>
      </c>
      <c r="J30" s="317" t="s">
        <v>43</v>
      </c>
      <c r="L30" s="140">
        <f>(L11+L15)*0.2</f>
        <v>100</v>
      </c>
      <c r="M30" s="129">
        <f>D30*L30</f>
        <v>28000</v>
      </c>
      <c r="N30" s="148">
        <f>C30*L30</f>
        <v>28000</v>
      </c>
      <c r="O30" s="137" t="s">
        <v>43</v>
      </c>
      <c r="P30" s="129" t="s">
        <v>43</v>
      </c>
      <c r="Q30" s="148" t="s">
        <v>43</v>
      </c>
      <c r="R30" s="452" t="s">
        <v>43</v>
      </c>
      <c r="S30" s="453" t="s">
        <v>43</v>
      </c>
      <c r="T30" s="454" t="s">
        <v>43</v>
      </c>
      <c r="U30" s="455" t="s">
        <v>43</v>
      </c>
      <c r="V30" s="147" t="s">
        <v>70</v>
      </c>
    </row>
    <row r="31" spans="1:22" s="3" customFormat="1" x14ac:dyDescent="0.25">
      <c r="A31" s="359">
        <v>7</v>
      </c>
      <c r="B31" s="360" t="s">
        <v>26</v>
      </c>
      <c r="C31" s="363">
        <f>'for Dist.'!C29</f>
        <v>50</v>
      </c>
      <c r="D31" s="339">
        <v>50</v>
      </c>
      <c r="E31" s="338" t="s">
        <v>43</v>
      </c>
      <c r="F31" s="343" t="s">
        <v>43</v>
      </c>
      <c r="G31" s="319" t="s">
        <v>43</v>
      </c>
      <c r="H31" s="344" t="s">
        <v>43</v>
      </c>
      <c r="I31" s="321" t="s">
        <v>43</v>
      </c>
      <c r="J31" s="321" t="s">
        <v>43</v>
      </c>
      <c r="L31" s="140">
        <f>(L11+L15)*0.2</f>
        <v>100</v>
      </c>
      <c r="M31" s="129">
        <f>D31*L31</f>
        <v>5000</v>
      </c>
      <c r="N31" s="148">
        <f>C31*L31</f>
        <v>5000</v>
      </c>
      <c r="O31" s="137" t="s">
        <v>43</v>
      </c>
      <c r="P31" s="129" t="s">
        <v>43</v>
      </c>
      <c r="Q31" s="148" t="s">
        <v>43</v>
      </c>
      <c r="R31" s="452" t="s">
        <v>43</v>
      </c>
      <c r="S31" s="456" t="s">
        <v>43</v>
      </c>
      <c r="T31" s="457" t="s">
        <v>43</v>
      </c>
      <c r="U31" s="458" t="s">
        <v>43</v>
      </c>
      <c r="V31" s="147" t="s">
        <v>70</v>
      </c>
    </row>
    <row r="32" spans="1:22" s="3" customFormat="1" x14ac:dyDescent="0.25">
      <c r="A32" s="359">
        <v>8</v>
      </c>
      <c r="B32" s="364" t="s">
        <v>9</v>
      </c>
      <c r="C32" s="354">
        <f>'for Dist.'!C30</f>
        <v>1440</v>
      </c>
      <c r="D32" s="263">
        <v>750</v>
      </c>
      <c r="E32" s="345">
        <v>0</v>
      </c>
      <c r="F32" s="346" t="s">
        <v>43</v>
      </c>
      <c r="G32" s="322" t="s">
        <v>43</v>
      </c>
      <c r="H32" s="347" t="s">
        <v>43</v>
      </c>
      <c r="I32" s="323" t="s">
        <v>43</v>
      </c>
      <c r="J32" s="323" t="s">
        <v>43</v>
      </c>
      <c r="L32" s="140">
        <f>(L11+L15)*0.2</f>
        <v>100</v>
      </c>
      <c r="M32" s="131">
        <f>D32*L32</f>
        <v>75000</v>
      </c>
      <c r="N32" s="149">
        <f>C32*L32</f>
        <v>144000</v>
      </c>
      <c r="O32" s="140" t="s">
        <v>43</v>
      </c>
      <c r="P32" s="131" t="s">
        <v>43</v>
      </c>
      <c r="Q32" s="149" t="s">
        <v>43</v>
      </c>
      <c r="R32" s="452" t="s">
        <v>43</v>
      </c>
      <c r="S32" s="459" t="s">
        <v>43</v>
      </c>
      <c r="T32" s="457" t="s">
        <v>43</v>
      </c>
      <c r="U32" s="458" t="s">
        <v>43</v>
      </c>
      <c r="V32" s="147" t="s">
        <v>70</v>
      </c>
    </row>
    <row r="33" spans="1:28" s="3" customFormat="1" x14ac:dyDescent="0.25">
      <c r="A33" s="365"/>
      <c r="B33" s="366" t="s">
        <v>31</v>
      </c>
      <c r="C33" s="367"/>
      <c r="D33" s="260"/>
      <c r="E33" s="259"/>
      <c r="F33" s="260"/>
      <c r="G33" s="325"/>
      <c r="H33" s="259"/>
      <c r="I33" s="326"/>
      <c r="J33" s="326"/>
      <c r="L33" s="110"/>
      <c r="M33" s="125"/>
      <c r="N33" s="150"/>
      <c r="O33" s="110"/>
      <c r="P33" s="125"/>
      <c r="Q33" s="150"/>
      <c r="R33" s="460"/>
      <c r="S33" s="461"/>
      <c r="T33" s="462"/>
      <c r="U33" s="427"/>
    </row>
    <row r="34" spans="1:28" s="3" customFormat="1" x14ac:dyDescent="0.25">
      <c r="A34" s="368"/>
      <c r="B34" s="366" t="s">
        <v>27</v>
      </c>
      <c r="C34" s="367"/>
      <c r="D34" s="260"/>
      <c r="E34" s="259"/>
      <c r="F34" s="260"/>
      <c r="G34" s="325"/>
      <c r="H34" s="259"/>
      <c r="I34" s="326"/>
      <c r="J34" s="326"/>
      <c r="L34" s="110"/>
      <c r="M34" s="174"/>
      <c r="N34" s="151"/>
      <c r="O34" s="110"/>
      <c r="P34" s="174"/>
      <c r="Q34" s="151"/>
      <c r="R34" s="460"/>
      <c r="S34" s="463"/>
      <c r="T34" s="464"/>
      <c r="U34" s="436"/>
    </row>
    <row r="35" spans="1:28" s="3" customFormat="1" x14ac:dyDescent="0.25">
      <c r="A35" s="368"/>
      <c r="B35" s="366" t="s">
        <v>30</v>
      </c>
      <c r="C35" s="367"/>
      <c r="D35" s="260"/>
      <c r="E35" s="259"/>
      <c r="F35" s="260"/>
      <c r="G35" s="325"/>
      <c r="H35" s="259"/>
      <c r="I35" s="326"/>
      <c r="J35" s="326"/>
      <c r="L35" s="142"/>
      <c r="M35" s="126"/>
      <c r="N35" s="152"/>
      <c r="O35" s="142"/>
      <c r="P35" s="126"/>
      <c r="Q35" s="152"/>
      <c r="R35" s="465"/>
      <c r="S35" s="466"/>
      <c r="T35" s="467"/>
      <c r="U35" s="432"/>
    </row>
    <row r="36" spans="1:28" s="3" customFormat="1" x14ac:dyDescent="0.25">
      <c r="A36" s="357">
        <v>9</v>
      </c>
      <c r="B36" s="360" t="s">
        <v>32</v>
      </c>
      <c r="C36" s="361">
        <f>'for Dist.'!C34</f>
        <v>1050</v>
      </c>
      <c r="D36" s="340">
        <f>C36*D23</f>
        <v>472.5</v>
      </c>
      <c r="E36" s="264">
        <f>C36-D36</f>
        <v>577.5</v>
      </c>
      <c r="F36" s="340">
        <f>C36*F23</f>
        <v>420</v>
      </c>
      <c r="G36" s="327">
        <f>H36*G23</f>
        <v>15.75</v>
      </c>
      <c r="H36" s="264">
        <f>E36-F36</f>
        <v>157.5</v>
      </c>
      <c r="I36" s="351">
        <f>C36*I23</f>
        <v>52.5</v>
      </c>
      <c r="J36" s="314">
        <f>H36-I36</f>
        <v>105</v>
      </c>
      <c r="L36" s="173" t="s">
        <v>43</v>
      </c>
      <c r="M36" s="129" t="s">
        <v>43</v>
      </c>
      <c r="N36" s="172" t="s">
        <v>43</v>
      </c>
      <c r="O36" s="173" t="s">
        <v>43</v>
      </c>
      <c r="P36" s="129" t="s">
        <v>43</v>
      </c>
      <c r="Q36" s="172" t="s">
        <v>43</v>
      </c>
      <c r="R36" s="448" t="s">
        <v>43</v>
      </c>
      <c r="S36" s="449" t="s">
        <v>43</v>
      </c>
      <c r="T36" s="450" t="s">
        <v>43</v>
      </c>
      <c r="U36" s="451" t="s">
        <v>43</v>
      </c>
    </row>
    <row r="37" spans="1:28" s="3" customFormat="1" x14ac:dyDescent="0.25">
      <c r="A37" s="357">
        <v>10</v>
      </c>
      <c r="B37" s="364" t="s">
        <v>56</v>
      </c>
      <c r="C37" s="354">
        <f>'for Dist.'!C35</f>
        <v>100</v>
      </c>
      <c r="D37" s="263">
        <f>C37*D23</f>
        <v>45</v>
      </c>
      <c r="E37" s="264">
        <f>C37-D37</f>
        <v>55</v>
      </c>
      <c r="F37" s="263">
        <f>C37*F23</f>
        <v>40</v>
      </c>
      <c r="G37" s="329">
        <f>H37*G23</f>
        <v>1.5</v>
      </c>
      <c r="H37" s="264">
        <f>E37-F37</f>
        <v>15</v>
      </c>
      <c r="I37" s="352">
        <f>C37*I23</f>
        <v>5</v>
      </c>
      <c r="J37" s="314">
        <f>H37-I37</f>
        <v>10</v>
      </c>
      <c r="L37" s="137">
        <f>0.1*L4</f>
        <v>100</v>
      </c>
      <c r="M37" s="129">
        <f>D37*L37</f>
        <v>4500</v>
      </c>
      <c r="N37" s="148">
        <f>C37*L37</f>
        <v>10000</v>
      </c>
      <c r="O37" s="137">
        <f>0.1*O4</f>
        <v>100</v>
      </c>
      <c r="P37" s="129">
        <f>F37*L37</f>
        <v>4000</v>
      </c>
      <c r="Q37" s="148">
        <f>E37*O37</f>
        <v>5500</v>
      </c>
      <c r="R37" s="448">
        <f>0.1*R4</f>
        <v>100</v>
      </c>
      <c r="S37" s="453">
        <f>I37*R37</f>
        <v>500</v>
      </c>
      <c r="T37" s="453">
        <f>G37*R37</f>
        <v>150</v>
      </c>
      <c r="U37" s="451">
        <f>H37*R37</f>
        <v>1500</v>
      </c>
      <c r="V37" s="147" t="s">
        <v>93</v>
      </c>
    </row>
    <row r="38" spans="1:28" s="3" customFormat="1" x14ac:dyDescent="0.25">
      <c r="A38" s="357">
        <v>11</v>
      </c>
      <c r="B38" s="360" t="s">
        <v>45</v>
      </c>
      <c r="C38" s="361">
        <v>300</v>
      </c>
      <c r="D38" s="339" t="s">
        <v>43</v>
      </c>
      <c r="E38" s="348" t="s">
        <v>43</v>
      </c>
      <c r="F38" s="340">
        <v>300</v>
      </c>
      <c r="G38" s="330" t="s">
        <v>43</v>
      </c>
      <c r="H38" s="348">
        <v>0</v>
      </c>
      <c r="I38" s="351" t="s">
        <v>43</v>
      </c>
      <c r="J38" s="331" t="s">
        <v>43</v>
      </c>
      <c r="L38" s="173" t="s">
        <v>43</v>
      </c>
      <c r="M38" s="129" t="s">
        <v>43</v>
      </c>
      <c r="N38" s="172" t="s">
        <v>43</v>
      </c>
      <c r="O38" s="137">
        <f>0.1*O4</f>
        <v>100</v>
      </c>
      <c r="P38" s="129">
        <f>F38*O38</f>
        <v>30000</v>
      </c>
      <c r="Q38" s="172">
        <f>C38*O38</f>
        <v>30000</v>
      </c>
      <c r="R38" s="448" t="s">
        <v>43</v>
      </c>
      <c r="S38" s="449" t="s">
        <v>43</v>
      </c>
      <c r="T38" s="450" t="s">
        <v>43</v>
      </c>
      <c r="U38" s="451" t="s">
        <v>43</v>
      </c>
      <c r="V38" s="147" t="s">
        <v>93</v>
      </c>
    </row>
    <row r="39" spans="1:28" s="3" customFormat="1" x14ac:dyDescent="0.25">
      <c r="A39" s="357">
        <v>12</v>
      </c>
      <c r="B39" s="364" t="s">
        <v>62</v>
      </c>
      <c r="C39" s="354">
        <v>600</v>
      </c>
      <c r="D39" s="346" t="s">
        <v>43</v>
      </c>
      <c r="E39" s="264" t="s">
        <v>43</v>
      </c>
      <c r="F39" s="263" t="s">
        <v>43</v>
      </c>
      <c r="G39" s="333" t="s">
        <v>43</v>
      </c>
      <c r="H39" s="264" t="s">
        <v>43</v>
      </c>
      <c r="I39" s="352">
        <v>600</v>
      </c>
      <c r="J39" s="314">
        <v>0</v>
      </c>
      <c r="L39" s="173" t="s">
        <v>43</v>
      </c>
      <c r="M39" s="129" t="s">
        <v>43</v>
      </c>
      <c r="N39" s="172" t="s">
        <v>43</v>
      </c>
      <c r="O39" s="173" t="s">
        <v>43</v>
      </c>
      <c r="P39" s="129" t="s">
        <v>43</v>
      </c>
      <c r="Q39" s="172" t="s">
        <v>43</v>
      </c>
      <c r="R39" s="448">
        <f>0.1*R4</f>
        <v>100</v>
      </c>
      <c r="S39" s="449">
        <f>I39*R39</f>
        <v>60000</v>
      </c>
      <c r="T39" s="450" t="s">
        <v>43</v>
      </c>
      <c r="U39" s="451">
        <f>C39*R39</f>
        <v>60000</v>
      </c>
      <c r="V39" s="147" t="s">
        <v>93</v>
      </c>
      <c r="W39" s="1"/>
      <c r="X39" s="1"/>
      <c r="Y39" s="1"/>
      <c r="Z39" s="1"/>
      <c r="AA39" s="1"/>
      <c r="AB39" s="1"/>
    </row>
    <row r="40" spans="1:28" x14ac:dyDescent="0.25">
      <c r="A40" s="357">
        <v>13</v>
      </c>
      <c r="B40" s="360" t="s">
        <v>50</v>
      </c>
      <c r="C40" s="358" t="s">
        <v>43</v>
      </c>
      <c r="D40" s="339" t="s">
        <v>43</v>
      </c>
      <c r="E40" s="348" t="s">
        <v>52</v>
      </c>
      <c r="F40" s="339" t="s">
        <v>43</v>
      </c>
      <c r="G40" s="319" t="s">
        <v>43</v>
      </c>
      <c r="H40" s="348" t="s">
        <v>53</v>
      </c>
      <c r="I40" s="317" t="s">
        <v>43</v>
      </c>
      <c r="J40" s="331" t="s">
        <v>43</v>
      </c>
      <c r="L40" s="173" t="s">
        <v>43</v>
      </c>
      <c r="M40" s="129" t="s">
        <v>43</v>
      </c>
      <c r="N40" s="172" t="s">
        <v>43</v>
      </c>
      <c r="O40" s="173" t="s">
        <v>43</v>
      </c>
      <c r="P40" s="129" t="s">
        <v>43</v>
      </c>
      <c r="Q40" s="172" t="s">
        <v>43</v>
      </c>
      <c r="R40" s="448" t="s">
        <v>43</v>
      </c>
      <c r="S40" s="449" t="s">
        <v>43</v>
      </c>
      <c r="T40" s="450" t="s">
        <v>43</v>
      </c>
      <c r="U40" s="451" t="s">
        <v>43</v>
      </c>
    </row>
    <row r="41" spans="1:28" ht="16.5" thickBot="1" x14ac:dyDescent="0.3">
      <c r="A41" s="369">
        <v>14</v>
      </c>
      <c r="B41" s="370" t="s">
        <v>51</v>
      </c>
      <c r="C41" s="371" t="s">
        <v>43</v>
      </c>
      <c r="D41" s="349" t="s">
        <v>43</v>
      </c>
      <c r="E41" s="350" t="s">
        <v>53</v>
      </c>
      <c r="F41" s="349" t="s">
        <v>43</v>
      </c>
      <c r="G41" s="334" t="s">
        <v>43</v>
      </c>
      <c r="H41" s="350" t="s">
        <v>43</v>
      </c>
      <c r="I41" s="335" t="s">
        <v>43</v>
      </c>
      <c r="J41" s="335" t="s">
        <v>43</v>
      </c>
      <c r="L41" s="120" t="s">
        <v>43</v>
      </c>
      <c r="M41" s="131" t="s">
        <v>43</v>
      </c>
      <c r="N41" s="155" t="s">
        <v>43</v>
      </c>
      <c r="O41" s="120" t="s">
        <v>43</v>
      </c>
      <c r="P41" s="131" t="s">
        <v>43</v>
      </c>
      <c r="Q41" s="155" t="s">
        <v>43</v>
      </c>
      <c r="R41" s="434" t="s">
        <v>43</v>
      </c>
      <c r="S41" s="456" t="s">
        <v>43</v>
      </c>
      <c r="T41" s="457" t="s">
        <v>43</v>
      </c>
      <c r="U41" s="458" t="s">
        <v>43</v>
      </c>
    </row>
    <row r="42" spans="1:28" ht="16.5" thickBot="1" x14ac:dyDescent="0.3">
      <c r="L42" s="473"/>
      <c r="M42" s="414">
        <f>SUM(M25:M41)</f>
        <v>218000</v>
      </c>
      <c r="N42" s="415">
        <f>SUM(N25:N41)</f>
        <v>320000</v>
      </c>
      <c r="O42" s="473"/>
      <c r="P42" s="414">
        <f>SUM(P25:P41)</f>
        <v>54000</v>
      </c>
      <c r="Q42" s="415">
        <f>SUM(Q25:Q41)</f>
        <v>63000</v>
      </c>
      <c r="R42" s="438"/>
      <c r="S42" s="474">
        <f>SUM(S25:S41)</f>
        <v>78000</v>
      </c>
      <c r="T42" s="474">
        <f>SUM(T25:T41)</f>
        <v>400</v>
      </c>
      <c r="U42" s="439">
        <f>SUM(U25:U41)</f>
        <v>84000</v>
      </c>
    </row>
    <row r="44" spans="1:28" x14ac:dyDescent="0.25">
      <c r="M44" s="157">
        <f>M42/N42</f>
        <v>0.68125000000000002</v>
      </c>
      <c r="P44" s="157">
        <f>P42/Q42</f>
        <v>0.8571428571428571</v>
      </c>
      <c r="S44" s="157">
        <f>(S42+T42)/U42</f>
        <v>0.93333333333333335</v>
      </c>
      <c r="T44" s="157"/>
    </row>
    <row r="46" spans="1:28" x14ac:dyDescent="0.25">
      <c r="A46" s="11"/>
      <c r="B46" s="37" t="s">
        <v>204</v>
      </c>
      <c r="C46" s="12"/>
      <c r="D46" s="12"/>
      <c r="E46" s="11"/>
      <c r="F46" s="11"/>
      <c r="G46" s="11"/>
      <c r="H46" s="11"/>
      <c r="I46" s="11"/>
    </row>
    <row r="47" spans="1:28" ht="16.5" thickBot="1" x14ac:dyDescent="0.3">
      <c r="D47" s="72">
        <v>0.45</v>
      </c>
      <c r="E47" s="72"/>
      <c r="F47" s="72">
        <v>0.4</v>
      </c>
      <c r="G47" s="72">
        <v>0.1</v>
      </c>
      <c r="H47" s="72"/>
      <c r="I47" s="72">
        <v>0.05</v>
      </c>
      <c r="J47" s="72"/>
      <c r="L47" s="1">
        <v>500</v>
      </c>
      <c r="N47" s="101" t="s">
        <v>77</v>
      </c>
      <c r="O47" s="1">
        <v>500</v>
      </c>
      <c r="Q47" s="101" t="s">
        <v>102</v>
      </c>
      <c r="R47" s="1">
        <v>500</v>
      </c>
      <c r="U47" s="101" t="s">
        <v>66</v>
      </c>
    </row>
    <row r="48" spans="1:28" ht="30" x14ac:dyDescent="0.25">
      <c r="A48" s="376"/>
      <c r="B48" s="309" t="s">
        <v>6</v>
      </c>
      <c r="C48" s="377" t="s">
        <v>2</v>
      </c>
      <c r="D48" s="254" t="s">
        <v>42</v>
      </c>
      <c r="E48" s="255" t="s">
        <v>37</v>
      </c>
      <c r="F48" s="254" t="s">
        <v>42</v>
      </c>
      <c r="G48" s="254" t="s">
        <v>103</v>
      </c>
      <c r="H48" s="255" t="s">
        <v>38</v>
      </c>
      <c r="I48" s="254" t="s">
        <v>42</v>
      </c>
      <c r="J48" s="255" t="s">
        <v>39</v>
      </c>
      <c r="L48" s="115" t="s">
        <v>64</v>
      </c>
      <c r="M48" s="135" t="s">
        <v>42</v>
      </c>
      <c r="N48" s="116" t="s">
        <v>65</v>
      </c>
      <c r="O48" s="115" t="s">
        <v>64</v>
      </c>
      <c r="P48" s="135" t="s">
        <v>42</v>
      </c>
      <c r="Q48" s="116" t="s">
        <v>65</v>
      </c>
      <c r="R48" s="417" t="s">
        <v>64</v>
      </c>
      <c r="S48" s="418" t="s">
        <v>42</v>
      </c>
      <c r="T48" s="419" t="s">
        <v>103</v>
      </c>
      <c r="U48" s="444" t="s">
        <v>65</v>
      </c>
    </row>
    <row r="49" spans="1:23" x14ac:dyDescent="0.25">
      <c r="A49" s="378"/>
      <c r="B49" s="644" t="s">
        <v>200</v>
      </c>
      <c r="C49" s="372">
        <f>'for Dist.'!I6</f>
        <v>5080</v>
      </c>
      <c r="D49" s="256">
        <f>(C66+(C68*5)-1820-C68-C67)*D47+(C67+C69+C73)</f>
        <v>4871</v>
      </c>
      <c r="E49" s="257">
        <f>C49-D49</f>
        <v>209</v>
      </c>
      <c r="F49" s="256">
        <f>(C66+(C68*5)-1820-C68-C67)*F47</f>
        <v>1352</v>
      </c>
      <c r="G49" s="271">
        <f>E49*G47</f>
        <v>20.900000000000002</v>
      </c>
      <c r="H49" s="257">
        <f>E49-F49-G49</f>
        <v>-1163.9000000000001</v>
      </c>
      <c r="I49" s="271">
        <f>(C66+(C68*5)-1820-C68-C67)*I47</f>
        <v>169</v>
      </c>
      <c r="J49" s="272">
        <f>H49-I49</f>
        <v>-1332.9</v>
      </c>
      <c r="L49" s="127">
        <f>L47*0.5</f>
        <v>250</v>
      </c>
      <c r="M49" s="124">
        <f>D49*L49</f>
        <v>1217750</v>
      </c>
      <c r="N49" s="113">
        <f>C49*L49</f>
        <v>1270000</v>
      </c>
      <c r="O49" s="127">
        <f>L49</f>
        <v>250</v>
      </c>
      <c r="P49" s="124">
        <f>F49*O49</f>
        <v>338000</v>
      </c>
      <c r="Q49" s="113">
        <f>E49*O49</f>
        <v>52250</v>
      </c>
      <c r="R49" s="421">
        <f>L49</f>
        <v>250</v>
      </c>
      <c r="S49" s="422">
        <f>I49*R49</f>
        <v>42250</v>
      </c>
      <c r="T49" s="423">
        <f>G49*R49</f>
        <v>5225.0000000000009</v>
      </c>
      <c r="U49" s="447">
        <f>H49*R49</f>
        <v>-290975</v>
      </c>
      <c r="V49" s="616" t="s">
        <v>191</v>
      </c>
      <c r="W49" s="10"/>
    </row>
    <row r="50" spans="1:23" x14ac:dyDescent="0.25">
      <c r="A50" s="379"/>
      <c r="B50" s="648" t="s">
        <v>166</v>
      </c>
      <c r="C50" s="373" t="str">
        <f>'for Dist.'!I7</f>
        <v>Valued at 7,600</v>
      </c>
      <c r="D50" s="258"/>
      <c r="E50" s="259"/>
      <c r="F50" s="260"/>
      <c r="G50" s="273"/>
      <c r="H50" s="259"/>
      <c r="I50" s="273"/>
      <c r="J50" s="274"/>
      <c r="L50" s="156"/>
      <c r="M50" s="125"/>
      <c r="N50" s="111"/>
      <c r="O50" s="156"/>
      <c r="P50" s="125"/>
      <c r="Q50" s="111"/>
      <c r="R50" s="429"/>
      <c r="S50" s="426"/>
      <c r="T50" s="427"/>
      <c r="U50" s="623"/>
    </row>
    <row r="51" spans="1:23" x14ac:dyDescent="0.25">
      <c r="A51" s="379"/>
      <c r="B51" s="287" t="s">
        <v>12</v>
      </c>
      <c r="C51" s="373" t="str">
        <f>'for Dist.'!I9</f>
        <v>save 2,520</v>
      </c>
      <c r="D51" s="258"/>
      <c r="E51" s="259"/>
      <c r="F51" s="260"/>
      <c r="G51" s="273"/>
      <c r="H51" s="259"/>
      <c r="I51" s="273"/>
      <c r="J51" s="274"/>
      <c r="L51" s="118"/>
      <c r="M51" s="125"/>
      <c r="N51" s="111"/>
      <c r="O51" s="118"/>
      <c r="P51" s="125"/>
      <c r="Q51" s="111"/>
      <c r="R51" s="429"/>
      <c r="S51" s="426"/>
      <c r="T51" s="427"/>
      <c r="U51" s="623"/>
    </row>
    <row r="52" spans="1:23" x14ac:dyDescent="0.25">
      <c r="A52" s="379"/>
      <c r="B52" s="619" t="s">
        <v>190</v>
      </c>
      <c r="C52" s="373"/>
      <c r="D52" s="260"/>
      <c r="E52" s="259"/>
      <c r="F52" s="260"/>
      <c r="G52" s="273"/>
      <c r="H52" s="259"/>
      <c r="I52" s="273"/>
      <c r="J52" s="274"/>
      <c r="L52" s="118"/>
      <c r="M52" s="125"/>
      <c r="N52" s="111"/>
      <c r="O52" s="118"/>
      <c r="P52" s="125"/>
      <c r="Q52" s="111"/>
      <c r="R52" s="429"/>
      <c r="S52" s="426"/>
      <c r="T52" s="427"/>
      <c r="U52" s="623"/>
    </row>
    <row r="53" spans="1:23" x14ac:dyDescent="0.25">
      <c r="A53" s="380"/>
      <c r="B53" s="287" t="s">
        <v>54</v>
      </c>
      <c r="C53" s="374"/>
      <c r="D53" s="260"/>
      <c r="E53" s="259"/>
      <c r="F53" s="260"/>
      <c r="G53" s="273"/>
      <c r="H53" s="259"/>
      <c r="I53" s="273"/>
      <c r="J53" s="274"/>
      <c r="L53" s="119"/>
      <c r="M53" s="126"/>
      <c r="N53" s="114"/>
      <c r="O53" s="119"/>
      <c r="P53" s="126"/>
      <c r="Q53" s="114"/>
      <c r="R53" s="430"/>
      <c r="S53" s="431"/>
      <c r="T53" s="432"/>
      <c r="U53" s="624"/>
    </row>
    <row r="54" spans="1:23" x14ac:dyDescent="0.25">
      <c r="A54" s="381"/>
      <c r="B54" s="645" t="s">
        <v>201</v>
      </c>
      <c r="C54" s="375">
        <f>'for Dist.'!I11</f>
        <v>4530</v>
      </c>
      <c r="D54" s="256">
        <f>(C66+(C68*5)-1820-C68)*D47+(C67+C69)</f>
        <v>2561</v>
      </c>
      <c r="E54" s="257">
        <f>C54-D54</f>
        <v>1969</v>
      </c>
      <c r="F54" s="256">
        <f>(C66+(C68*5)-1820-C68)*F47</f>
        <v>1432</v>
      </c>
      <c r="G54" s="271">
        <f>E54*G47</f>
        <v>196.9</v>
      </c>
      <c r="H54" s="257">
        <f>E54-F54-G54</f>
        <v>340.1</v>
      </c>
      <c r="I54" s="271">
        <f>(C66+(C68*5)-1820-C68)*I47</f>
        <v>179</v>
      </c>
      <c r="J54" s="272">
        <f>H54-I54</f>
        <v>161.10000000000002</v>
      </c>
      <c r="L54" s="118">
        <f>L47*0.3</f>
        <v>150</v>
      </c>
      <c r="M54" s="124">
        <f>D54*L54</f>
        <v>384150</v>
      </c>
      <c r="N54" s="113">
        <f>C54*L54</f>
        <v>679500</v>
      </c>
      <c r="O54" s="118">
        <f>L54</f>
        <v>150</v>
      </c>
      <c r="P54" s="124">
        <f>F54*O54</f>
        <v>214800</v>
      </c>
      <c r="Q54" s="113">
        <f>E54*O54</f>
        <v>295350</v>
      </c>
      <c r="R54" s="429">
        <f>L54</f>
        <v>150</v>
      </c>
      <c r="S54" s="422">
        <f>I54*R54</f>
        <v>26850</v>
      </c>
      <c r="T54" s="423">
        <f>G54*R54</f>
        <v>29535</v>
      </c>
      <c r="U54" s="447">
        <f>H54*R54</f>
        <v>51015</v>
      </c>
      <c r="V54" s="616" t="s">
        <v>95</v>
      </c>
    </row>
    <row r="55" spans="1:23" x14ac:dyDescent="0.25">
      <c r="A55" s="379"/>
      <c r="B55" s="648" t="s">
        <v>166</v>
      </c>
      <c r="C55" s="373" t="str">
        <f>'for Dist.'!I12</f>
        <v>Valued at 6,850</v>
      </c>
      <c r="D55" s="258"/>
      <c r="E55" s="259"/>
      <c r="F55" s="260"/>
      <c r="G55" s="273"/>
      <c r="H55" s="259"/>
      <c r="I55" s="273"/>
      <c r="J55" s="274"/>
      <c r="L55" s="118"/>
      <c r="M55" s="125"/>
      <c r="N55" s="111"/>
      <c r="O55" s="118"/>
      <c r="P55" s="125"/>
      <c r="Q55" s="111"/>
      <c r="R55" s="429"/>
      <c r="S55" s="426"/>
      <c r="T55" s="427"/>
      <c r="U55" s="623"/>
    </row>
    <row r="56" spans="1:23" x14ac:dyDescent="0.25">
      <c r="A56" s="380"/>
      <c r="B56" s="621" t="s">
        <v>190</v>
      </c>
      <c r="C56" s="373" t="str">
        <f>'for Dist.'!I14</f>
        <v>save 2,320</v>
      </c>
      <c r="D56" s="258"/>
      <c r="E56" s="262"/>
      <c r="F56" s="261"/>
      <c r="G56" s="275"/>
      <c r="H56" s="262"/>
      <c r="I56" s="275"/>
      <c r="J56" s="276"/>
      <c r="L56" s="118"/>
      <c r="M56" s="125"/>
      <c r="N56" s="111"/>
      <c r="O56" s="118"/>
      <c r="P56" s="125"/>
      <c r="Q56" s="111"/>
      <c r="R56" s="429"/>
      <c r="S56" s="426"/>
      <c r="T56" s="427"/>
      <c r="U56" s="623"/>
    </row>
    <row r="57" spans="1:23" x14ac:dyDescent="0.25">
      <c r="A57" s="381"/>
      <c r="B57" s="645" t="s">
        <v>203</v>
      </c>
      <c r="C57" s="375">
        <f>'for Dist.'!I15</f>
        <v>4080</v>
      </c>
      <c r="D57" s="256">
        <f>(C66+(C68*5)-1820)*D47</f>
        <v>1836</v>
      </c>
      <c r="E57" s="264">
        <f>C57-D57</f>
        <v>2244</v>
      </c>
      <c r="F57" s="256">
        <f>(C66+(C68*5)-1820)*F47</f>
        <v>1632</v>
      </c>
      <c r="G57" s="271">
        <f>E57*G47</f>
        <v>224.4</v>
      </c>
      <c r="H57" s="257">
        <f>E57-F57-G57</f>
        <v>387.6</v>
      </c>
      <c r="I57" s="277">
        <f>(C66+(C68*5)-1820)*I47</f>
        <v>204</v>
      </c>
      <c r="J57" s="272">
        <f>H57-I57</f>
        <v>183.60000000000002</v>
      </c>
      <c r="L57" s="120">
        <f>L47*0.2</f>
        <v>100</v>
      </c>
      <c r="M57" s="124">
        <f>D57*L57</f>
        <v>183600</v>
      </c>
      <c r="N57" s="113">
        <f>C57*L57</f>
        <v>408000</v>
      </c>
      <c r="O57" s="120">
        <f>L57</f>
        <v>100</v>
      </c>
      <c r="P57" s="124">
        <f>F57*O57</f>
        <v>163200</v>
      </c>
      <c r="Q57" s="113">
        <f>E57*O57</f>
        <v>224400</v>
      </c>
      <c r="R57" s="434">
        <f>L57</f>
        <v>100</v>
      </c>
      <c r="S57" s="422">
        <f>I57*R57</f>
        <v>20400</v>
      </c>
      <c r="T57" s="423">
        <f>G57*R57</f>
        <v>22440</v>
      </c>
      <c r="U57" s="447">
        <f>H57*R57</f>
        <v>38760</v>
      </c>
      <c r="V57" s="616" t="s">
        <v>96</v>
      </c>
    </row>
    <row r="58" spans="1:23" x14ac:dyDescent="0.25">
      <c r="A58" s="379"/>
      <c r="B58" s="648" t="s">
        <v>166</v>
      </c>
      <c r="C58" s="373" t="str">
        <f>'for Dist.'!I16</f>
        <v xml:space="preserve">Valued at 5,900 </v>
      </c>
      <c r="D58" s="260"/>
      <c r="E58" s="265"/>
      <c r="F58" s="269"/>
      <c r="G58" s="279"/>
      <c r="H58" s="265"/>
      <c r="I58" s="279"/>
      <c r="J58" s="280"/>
      <c r="L58" s="118"/>
      <c r="M58" s="174"/>
      <c r="N58" s="109"/>
      <c r="O58" s="118"/>
      <c r="P58" s="174"/>
      <c r="Q58" s="109"/>
      <c r="R58" s="429"/>
      <c r="S58" s="435"/>
      <c r="T58" s="436"/>
      <c r="U58" s="625"/>
      <c r="V58" s="147"/>
    </row>
    <row r="59" spans="1:23" ht="16.5" thickBot="1" x14ac:dyDescent="0.3">
      <c r="A59" s="382"/>
      <c r="B59" s="303"/>
      <c r="C59" s="622" t="str">
        <f>'for Dist.'!I17</f>
        <v>Discount 1,820</v>
      </c>
      <c r="D59" s="266"/>
      <c r="E59" s="267"/>
      <c r="F59" s="270"/>
      <c r="G59" s="281"/>
      <c r="H59" s="267"/>
      <c r="I59" s="281"/>
      <c r="J59" s="282"/>
      <c r="L59" s="121"/>
      <c r="M59" s="136"/>
      <c r="N59" s="112"/>
      <c r="O59" s="121"/>
      <c r="P59" s="136"/>
      <c r="Q59" s="112"/>
      <c r="R59" s="472"/>
      <c r="S59" s="476"/>
      <c r="T59" s="475"/>
      <c r="U59" s="626"/>
    </row>
    <row r="60" spans="1:23" ht="16.5" thickBot="1" x14ac:dyDescent="0.3">
      <c r="L60" s="477"/>
      <c r="M60" s="478">
        <f>SUM(M49:M59)</f>
        <v>1785500</v>
      </c>
      <c r="N60" s="479">
        <f>SUM(N49:N59)</f>
        <v>2357500</v>
      </c>
      <c r="O60" s="477"/>
      <c r="P60" s="478">
        <f>SUM(P49:P59)</f>
        <v>716000</v>
      </c>
      <c r="Q60" s="479">
        <f>SUM(Q49:Q59)</f>
        <v>572000</v>
      </c>
      <c r="R60" s="480"/>
      <c r="S60" s="481">
        <f>SUM(S49:S59)</f>
        <v>89500</v>
      </c>
      <c r="T60" s="482">
        <f>SUM(T49:T59)</f>
        <v>57200</v>
      </c>
      <c r="U60" s="481">
        <f>SUM(U49:U59)</f>
        <v>-201200</v>
      </c>
    </row>
    <row r="61" spans="1:23" x14ac:dyDescent="0.25">
      <c r="B61" s="39"/>
      <c r="L61" s="123"/>
      <c r="M61" s="123"/>
      <c r="N61" s="123"/>
      <c r="O61" s="123"/>
      <c r="P61" s="123"/>
      <c r="Q61" s="123"/>
      <c r="R61" s="123"/>
      <c r="S61" s="123"/>
      <c r="T61" s="123"/>
      <c r="U61" s="123"/>
    </row>
    <row r="62" spans="1:23" x14ac:dyDescent="0.25">
      <c r="B62" s="39"/>
      <c r="L62" s="123"/>
      <c r="M62" s="157">
        <f>M60/N60</f>
        <v>0.75737009544008482</v>
      </c>
      <c r="P62" s="157">
        <f>P60/Q60</f>
        <v>1.2517482517482517</v>
      </c>
      <c r="S62" s="157">
        <f>(S60+T60)/U60</f>
        <v>-0.72912524850894633</v>
      </c>
      <c r="T62" s="157"/>
    </row>
    <row r="63" spans="1:23" x14ac:dyDescent="0.25">
      <c r="B63" s="39" t="s">
        <v>7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</row>
    <row r="64" spans="1:23" ht="16.5" thickBot="1" x14ac:dyDescent="0.3">
      <c r="A64" s="3"/>
      <c r="B64" s="3"/>
      <c r="C64" s="3"/>
      <c r="D64" s="42">
        <v>0.45</v>
      </c>
      <c r="E64" s="3"/>
      <c r="F64" s="42">
        <v>0.4</v>
      </c>
      <c r="G64" s="42">
        <v>0.1</v>
      </c>
      <c r="H64" s="3"/>
      <c r="I64" s="42">
        <v>0.05</v>
      </c>
      <c r="J64" s="42"/>
      <c r="N64" s="101" t="s">
        <v>77</v>
      </c>
      <c r="Q64" s="101" t="s">
        <v>102</v>
      </c>
      <c r="U64" s="101" t="s">
        <v>66</v>
      </c>
    </row>
    <row r="65" spans="1:26" s="3" customFormat="1" ht="30" x14ac:dyDescent="0.25">
      <c r="A65" s="305"/>
      <c r="B65" s="305" t="s">
        <v>6</v>
      </c>
      <c r="C65" s="306" t="s">
        <v>36</v>
      </c>
      <c r="D65" s="254" t="s">
        <v>42</v>
      </c>
      <c r="E65" s="255" t="s">
        <v>37</v>
      </c>
      <c r="F65" s="307" t="s">
        <v>42</v>
      </c>
      <c r="G65" s="307" t="s">
        <v>124</v>
      </c>
      <c r="H65" s="310" t="s">
        <v>38</v>
      </c>
      <c r="I65" s="311" t="s">
        <v>42</v>
      </c>
      <c r="J65" s="255" t="s">
        <v>39</v>
      </c>
      <c r="L65" s="115" t="s">
        <v>68</v>
      </c>
      <c r="M65" s="135" t="s">
        <v>42</v>
      </c>
      <c r="N65" s="116" t="s">
        <v>65</v>
      </c>
      <c r="O65" s="115" t="s">
        <v>68</v>
      </c>
      <c r="P65" s="135" t="s">
        <v>42</v>
      </c>
      <c r="Q65" s="116" t="s">
        <v>65</v>
      </c>
      <c r="R65" s="417" t="s">
        <v>68</v>
      </c>
      <c r="S65" s="442" t="s">
        <v>42</v>
      </c>
      <c r="T65" s="443" t="s">
        <v>103</v>
      </c>
      <c r="U65" s="444" t="s">
        <v>65</v>
      </c>
    </row>
    <row r="66" spans="1:26" s="3" customFormat="1" x14ac:dyDescent="0.25">
      <c r="A66" s="290">
        <v>1</v>
      </c>
      <c r="B66" s="645" t="s">
        <v>206</v>
      </c>
      <c r="C66" s="293">
        <v>3400</v>
      </c>
      <c r="D66" s="263">
        <f>C66*D64</f>
        <v>1530</v>
      </c>
      <c r="E66" s="264">
        <f>C66-D66</f>
        <v>1870</v>
      </c>
      <c r="F66" s="394">
        <f>C66*F64</f>
        <v>1360</v>
      </c>
      <c r="G66" s="315">
        <f>H66*G64</f>
        <v>51</v>
      </c>
      <c r="H66" s="395">
        <f>E66-F66</f>
        <v>510</v>
      </c>
      <c r="I66" s="314">
        <f>C66*I64</f>
        <v>170</v>
      </c>
      <c r="J66" s="278">
        <f>H66-I66-G66</f>
        <v>289</v>
      </c>
      <c r="L66" s="127">
        <v>0</v>
      </c>
      <c r="M66" s="124">
        <f>E66*L66</f>
        <v>0</v>
      </c>
      <c r="N66" s="113">
        <v>0</v>
      </c>
      <c r="O66" s="127">
        <v>0</v>
      </c>
      <c r="P66" s="124">
        <f>I66*O66</f>
        <v>0</v>
      </c>
      <c r="Q66" s="113">
        <v>0</v>
      </c>
      <c r="R66" s="421">
        <v>0</v>
      </c>
      <c r="S66" s="445">
        <f>I66*R66</f>
        <v>0</v>
      </c>
      <c r="T66" s="446">
        <v>0</v>
      </c>
      <c r="U66" s="447">
        <f>E66*R66</f>
        <v>0</v>
      </c>
    </row>
    <row r="67" spans="1:26" s="3" customFormat="1" x14ac:dyDescent="0.25">
      <c r="A67" s="290">
        <v>2</v>
      </c>
      <c r="B67" s="383" t="s">
        <v>0</v>
      </c>
      <c r="C67" s="384">
        <f>'for Dist.'!I24</f>
        <v>200</v>
      </c>
      <c r="D67" s="337">
        <v>350</v>
      </c>
      <c r="E67" s="338">
        <v>0</v>
      </c>
      <c r="F67" s="343" t="s">
        <v>43</v>
      </c>
      <c r="G67" s="319" t="s">
        <v>43</v>
      </c>
      <c r="H67" s="396" t="s">
        <v>43</v>
      </c>
      <c r="I67" s="317" t="s">
        <v>43</v>
      </c>
      <c r="J67" s="318" t="s">
        <v>43</v>
      </c>
      <c r="L67" s="137">
        <f>(L54+L57)*0.5</f>
        <v>125</v>
      </c>
      <c r="M67" s="129">
        <f>D67*L67</f>
        <v>43750</v>
      </c>
      <c r="N67" s="148">
        <f>C67*L67</f>
        <v>25000</v>
      </c>
      <c r="O67" s="137" t="s">
        <v>43</v>
      </c>
      <c r="P67" s="129" t="s">
        <v>43</v>
      </c>
      <c r="Q67" s="148" t="s">
        <v>43</v>
      </c>
      <c r="R67" s="448" t="s">
        <v>43</v>
      </c>
      <c r="S67" s="449" t="s">
        <v>43</v>
      </c>
      <c r="T67" s="450" t="s">
        <v>43</v>
      </c>
      <c r="U67" s="451" t="s">
        <v>43</v>
      </c>
      <c r="V67" s="147" t="s">
        <v>69</v>
      </c>
    </row>
    <row r="68" spans="1:26" s="3" customFormat="1" x14ac:dyDescent="0.25">
      <c r="A68" s="385">
        <v>3</v>
      </c>
      <c r="B68" s="618" t="s">
        <v>187</v>
      </c>
      <c r="C68" s="386">
        <f>'for Dist.'!I25</f>
        <v>500</v>
      </c>
      <c r="D68" s="263">
        <f>C68*D64</f>
        <v>225</v>
      </c>
      <c r="E68" s="264">
        <f>C68-D68</f>
        <v>275</v>
      </c>
      <c r="F68" s="394">
        <f>C68*F64</f>
        <v>200</v>
      </c>
      <c r="G68" s="315">
        <f>H68*G64</f>
        <v>7.5</v>
      </c>
      <c r="H68" s="395">
        <f>E68-F68</f>
        <v>75</v>
      </c>
      <c r="I68" s="314">
        <f>C68*I64</f>
        <v>25</v>
      </c>
      <c r="J68" s="278">
        <f>H68-I68-G68</f>
        <v>42.5</v>
      </c>
      <c r="L68" s="137">
        <f>0.1*L47</f>
        <v>50</v>
      </c>
      <c r="M68" s="129">
        <f>D68*L68</f>
        <v>11250</v>
      </c>
      <c r="N68" s="148">
        <f>C68*L68</f>
        <v>25000</v>
      </c>
      <c r="O68" s="137">
        <f>0.1*O47</f>
        <v>50</v>
      </c>
      <c r="P68" s="129">
        <f>F68*L68</f>
        <v>10000</v>
      </c>
      <c r="Q68" s="148">
        <f>E68*O68</f>
        <v>13750</v>
      </c>
      <c r="R68" s="448">
        <f>0.1*R47</f>
        <v>50</v>
      </c>
      <c r="S68" s="449">
        <f>I68*R68</f>
        <v>1250</v>
      </c>
      <c r="T68" s="450">
        <f>G68*R68</f>
        <v>375</v>
      </c>
      <c r="U68" s="451">
        <f>H68*R68</f>
        <v>3750</v>
      </c>
      <c r="V68" s="147" t="s">
        <v>97</v>
      </c>
    </row>
    <row r="69" spans="1:26" s="3" customFormat="1" x14ac:dyDescent="0.25">
      <c r="A69" s="387">
        <v>4</v>
      </c>
      <c r="B69" s="620" t="s">
        <v>188</v>
      </c>
      <c r="C69" s="388">
        <f>'for Dist.'!I27</f>
        <v>750</v>
      </c>
      <c r="D69" s="340">
        <v>750</v>
      </c>
      <c r="E69" s="338">
        <v>0</v>
      </c>
      <c r="F69" s="343" t="s">
        <v>43</v>
      </c>
      <c r="G69" s="319" t="s">
        <v>43</v>
      </c>
      <c r="H69" s="396" t="s">
        <v>43</v>
      </c>
      <c r="I69" s="317" t="s">
        <v>43</v>
      </c>
      <c r="J69" s="318" t="s">
        <v>43</v>
      </c>
      <c r="L69" s="137">
        <f>0.3*L57</f>
        <v>30</v>
      </c>
      <c r="M69" s="129">
        <f>D69*L69</f>
        <v>22500</v>
      </c>
      <c r="N69" s="148">
        <f>C69*L69</f>
        <v>22500</v>
      </c>
      <c r="O69" s="137" t="s">
        <v>43</v>
      </c>
      <c r="P69" s="129" t="s">
        <v>43</v>
      </c>
      <c r="Q69" s="148" t="s">
        <v>43</v>
      </c>
      <c r="R69" s="448" t="s">
        <v>43</v>
      </c>
      <c r="S69" s="449" t="s">
        <v>43</v>
      </c>
      <c r="T69" s="450" t="s">
        <v>43</v>
      </c>
      <c r="U69" s="451" t="s">
        <v>43</v>
      </c>
      <c r="V69" s="147" t="s">
        <v>71</v>
      </c>
    </row>
    <row r="70" spans="1:26" s="3" customFormat="1" x14ac:dyDescent="0.25">
      <c r="A70" s="387">
        <v>5</v>
      </c>
      <c r="B70" s="389" t="s">
        <v>58</v>
      </c>
      <c r="C70" s="388">
        <v>150</v>
      </c>
      <c r="D70" s="341" t="s">
        <v>43</v>
      </c>
      <c r="E70" s="342" t="s">
        <v>43</v>
      </c>
      <c r="F70" s="341" t="s">
        <v>43</v>
      </c>
      <c r="G70" s="319" t="s">
        <v>43</v>
      </c>
      <c r="H70" s="342" t="s">
        <v>43</v>
      </c>
      <c r="I70" s="317">
        <v>150</v>
      </c>
      <c r="J70" s="318">
        <v>0</v>
      </c>
      <c r="L70" s="137" t="s">
        <v>43</v>
      </c>
      <c r="M70" s="129" t="s">
        <v>43</v>
      </c>
      <c r="N70" s="148" t="s">
        <v>43</v>
      </c>
      <c r="O70" s="137" t="s">
        <v>43</v>
      </c>
      <c r="P70" s="129" t="s">
        <v>43</v>
      </c>
      <c r="Q70" s="148" t="s">
        <v>43</v>
      </c>
      <c r="R70" s="448">
        <f>R47*0.2</f>
        <v>100</v>
      </c>
      <c r="S70" s="449">
        <f>I70*R70</f>
        <v>15000</v>
      </c>
      <c r="T70" s="450" t="s">
        <v>43</v>
      </c>
      <c r="U70" s="451">
        <f>C70*R70</f>
        <v>15000</v>
      </c>
      <c r="V70" s="147" t="s">
        <v>96</v>
      </c>
    </row>
    <row r="71" spans="1:26" s="3" customFormat="1" x14ac:dyDescent="0.25">
      <c r="A71" s="291">
        <v>6</v>
      </c>
      <c r="B71" s="385" t="s">
        <v>8</v>
      </c>
      <c r="C71" s="388">
        <f>'for Dist.'!I28</f>
        <v>280</v>
      </c>
      <c r="D71" s="340">
        <v>280</v>
      </c>
      <c r="E71" s="338">
        <v>0</v>
      </c>
      <c r="F71" s="343" t="s">
        <v>43</v>
      </c>
      <c r="G71" s="319" t="s">
        <v>43</v>
      </c>
      <c r="H71" s="396" t="s">
        <v>43</v>
      </c>
      <c r="I71" s="317" t="s">
        <v>43</v>
      </c>
      <c r="J71" s="318" t="s">
        <v>43</v>
      </c>
      <c r="L71" s="140">
        <f>(L54+L57)*0.2</f>
        <v>50</v>
      </c>
      <c r="M71" s="129">
        <f>D71*L71</f>
        <v>14000</v>
      </c>
      <c r="N71" s="148">
        <f>C71*L71</f>
        <v>14000</v>
      </c>
      <c r="O71" s="137" t="s">
        <v>43</v>
      </c>
      <c r="P71" s="129" t="s">
        <v>43</v>
      </c>
      <c r="Q71" s="148" t="s">
        <v>43</v>
      </c>
      <c r="R71" s="452" t="s">
        <v>43</v>
      </c>
      <c r="S71" s="453" t="s">
        <v>43</v>
      </c>
      <c r="T71" s="454" t="s">
        <v>43</v>
      </c>
      <c r="U71" s="455" t="s">
        <v>43</v>
      </c>
      <c r="V71" s="147" t="s">
        <v>70</v>
      </c>
    </row>
    <row r="72" spans="1:26" s="3" customFormat="1" x14ac:dyDescent="0.25">
      <c r="A72" s="387">
        <v>7</v>
      </c>
      <c r="B72" s="389" t="s">
        <v>26</v>
      </c>
      <c r="C72" s="390">
        <f>'for Dist.'!I29</f>
        <v>50</v>
      </c>
      <c r="D72" s="339">
        <v>50</v>
      </c>
      <c r="E72" s="338" t="s">
        <v>43</v>
      </c>
      <c r="F72" s="343" t="s">
        <v>43</v>
      </c>
      <c r="G72" s="319" t="s">
        <v>43</v>
      </c>
      <c r="H72" s="344" t="s">
        <v>43</v>
      </c>
      <c r="I72" s="321" t="s">
        <v>43</v>
      </c>
      <c r="J72" s="320" t="s">
        <v>43</v>
      </c>
      <c r="L72" s="140">
        <f>(L54+L57)*0.2</f>
        <v>50</v>
      </c>
      <c r="M72" s="129">
        <f>D72*L72</f>
        <v>2500</v>
      </c>
      <c r="N72" s="148">
        <f>C72*L72</f>
        <v>2500</v>
      </c>
      <c r="O72" s="137" t="s">
        <v>43</v>
      </c>
      <c r="P72" s="129" t="s">
        <v>43</v>
      </c>
      <c r="Q72" s="148" t="s">
        <v>43</v>
      </c>
      <c r="R72" s="452" t="s">
        <v>43</v>
      </c>
      <c r="S72" s="456" t="s">
        <v>43</v>
      </c>
      <c r="T72" s="457" t="s">
        <v>43</v>
      </c>
      <c r="U72" s="458" t="s">
        <v>43</v>
      </c>
      <c r="V72" s="147" t="s">
        <v>70</v>
      </c>
    </row>
    <row r="73" spans="1:26" s="3" customFormat="1" x14ac:dyDescent="0.25">
      <c r="A73" s="387">
        <v>8</v>
      </c>
      <c r="B73" s="291" t="s">
        <v>9</v>
      </c>
      <c r="C73" s="293">
        <f>'for Dist.'!I30</f>
        <v>2400</v>
      </c>
      <c r="D73" s="263">
        <v>750</v>
      </c>
      <c r="E73" s="345">
        <v>0</v>
      </c>
      <c r="F73" s="397" t="s">
        <v>43</v>
      </c>
      <c r="G73" s="322" t="s">
        <v>43</v>
      </c>
      <c r="H73" s="398" t="s">
        <v>43</v>
      </c>
      <c r="I73" s="323" t="s">
        <v>43</v>
      </c>
      <c r="J73" s="324" t="s">
        <v>43</v>
      </c>
      <c r="L73" s="140">
        <f>(L54+L57)*0.2</f>
        <v>50</v>
      </c>
      <c r="M73" s="131">
        <f>D73*L73</f>
        <v>37500</v>
      </c>
      <c r="N73" s="149">
        <f>C73*L73</f>
        <v>120000</v>
      </c>
      <c r="O73" s="140" t="s">
        <v>43</v>
      </c>
      <c r="P73" s="131" t="s">
        <v>43</v>
      </c>
      <c r="Q73" s="149" t="s">
        <v>43</v>
      </c>
      <c r="R73" s="452" t="s">
        <v>43</v>
      </c>
      <c r="S73" s="459" t="s">
        <v>43</v>
      </c>
      <c r="T73" s="457" t="s">
        <v>43</v>
      </c>
      <c r="U73" s="458" t="s">
        <v>43</v>
      </c>
      <c r="V73" s="147" t="s">
        <v>70</v>
      </c>
    </row>
    <row r="74" spans="1:26" s="3" customFormat="1" x14ac:dyDescent="0.25">
      <c r="A74" s="391"/>
      <c r="B74" s="285" t="s">
        <v>31</v>
      </c>
      <c r="C74" s="289"/>
      <c r="D74" s="260"/>
      <c r="E74" s="259"/>
      <c r="F74" s="399"/>
      <c r="G74" s="325"/>
      <c r="H74" s="400"/>
      <c r="I74" s="326"/>
      <c r="J74" s="274"/>
      <c r="L74" s="110"/>
      <c r="M74" s="125"/>
      <c r="N74" s="150"/>
      <c r="O74" s="110"/>
      <c r="P74" s="125"/>
      <c r="Q74" s="150"/>
      <c r="R74" s="460"/>
      <c r="S74" s="461"/>
      <c r="T74" s="462"/>
      <c r="U74" s="427"/>
    </row>
    <row r="75" spans="1:26" s="3" customFormat="1" x14ac:dyDescent="0.25">
      <c r="A75" s="285"/>
      <c r="B75" s="285" t="s">
        <v>28</v>
      </c>
      <c r="C75" s="289"/>
      <c r="D75" s="260"/>
      <c r="E75" s="259"/>
      <c r="F75" s="399"/>
      <c r="G75" s="325"/>
      <c r="H75" s="400"/>
      <c r="I75" s="326"/>
      <c r="J75" s="274"/>
      <c r="L75" s="110"/>
      <c r="M75" s="174"/>
      <c r="N75" s="151"/>
      <c r="O75" s="110"/>
      <c r="P75" s="174"/>
      <c r="Q75" s="151"/>
      <c r="R75" s="460"/>
      <c r="S75" s="463"/>
      <c r="T75" s="464"/>
      <c r="U75" s="436"/>
    </row>
    <row r="76" spans="1:26" s="3" customFormat="1" x14ac:dyDescent="0.25">
      <c r="A76" s="285"/>
      <c r="B76" s="285" t="s">
        <v>29</v>
      </c>
      <c r="C76" s="289"/>
      <c r="D76" s="260"/>
      <c r="E76" s="259"/>
      <c r="F76" s="399"/>
      <c r="G76" s="325"/>
      <c r="H76" s="400"/>
      <c r="I76" s="326"/>
      <c r="J76" s="274"/>
      <c r="L76" s="142"/>
      <c r="M76" s="126"/>
      <c r="N76" s="152"/>
      <c r="O76" s="142"/>
      <c r="P76" s="126"/>
      <c r="Q76" s="152"/>
      <c r="R76" s="465"/>
      <c r="S76" s="466"/>
      <c r="T76" s="467"/>
      <c r="U76" s="432"/>
    </row>
    <row r="77" spans="1:26" s="3" customFormat="1" x14ac:dyDescent="0.25">
      <c r="A77" s="385">
        <v>9</v>
      </c>
      <c r="B77" s="385" t="s">
        <v>32</v>
      </c>
      <c r="C77" s="388">
        <f>'for Dist.'!I34</f>
        <v>1050</v>
      </c>
      <c r="D77" s="340">
        <f>C77*D64</f>
        <v>472.5</v>
      </c>
      <c r="E77" s="264">
        <f>C77-D77</f>
        <v>577.5</v>
      </c>
      <c r="F77" s="401">
        <f>C77*F64</f>
        <v>420</v>
      </c>
      <c r="G77" s="328">
        <f>H77*G64</f>
        <v>15.75</v>
      </c>
      <c r="H77" s="395">
        <f>E77-F77</f>
        <v>157.5</v>
      </c>
      <c r="I77" s="351">
        <f>C77*I64</f>
        <v>52.5</v>
      </c>
      <c r="J77" s="278">
        <f>H77-I77-G77</f>
        <v>89.25</v>
      </c>
      <c r="L77" s="173" t="s">
        <v>43</v>
      </c>
      <c r="M77" s="129" t="s">
        <v>43</v>
      </c>
      <c r="N77" s="172" t="s">
        <v>43</v>
      </c>
      <c r="O77" s="173" t="s">
        <v>43</v>
      </c>
      <c r="P77" s="129" t="s">
        <v>43</v>
      </c>
      <c r="Q77" s="172" t="s">
        <v>43</v>
      </c>
      <c r="R77" s="448" t="s">
        <v>43</v>
      </c>
      <c r="S77" s="449" t="s">
        <v>43</v>
      </c>
      <c r="T77" s="450" t="s">
        <v>43</v>
      </c>
      <c r="U77" s="451" t="s">
        <v>43</v>
      </c>
    </row>
    <row r="78" spans="1:26" s="3" customFormat="1" x14ac:dyDescent="0.25">
      <c r="A78" s="385">
        <v>10</v>
      </c>
      <c r="B78" s="385" t="s">
        <v>56</v>
      </c>
      <c r="C78" s="388">
        <f>'for Dist.'!I35</f>
        <v>100</v>
      </c>
      <c r="D78" s="340">
        <f>C78*D64</f>
        <v>45</v>
      </c>
      <c r="E78" s="348">
        <f>C78-D78</f>
        <v>55</v>
      </c>
      <c r="F78" s="401">
        <f>C78*F64</f>
        <v>40</v>
      </c>
      <c r="G78" s="328">
        <f>H78*G64</f>
        <v>1.5</v>
      </c>
      <c r="H78" s="402">
        <f>E78-F78</f>
        <v>15</v>
      </c>
      <c r="I78" s="351">
        <f>C78*I64</f>
        <v>5</v>
      </c>
      <c r="J78" s="332">
        <f>H78-I78-G78</f>
        <v>8.5</v>
      </c>
      <c r="L78" s="137">
        <f>0.1*L47</f>
        <v>50</v>
      </c>
      <c r="M78" s="129">
        <f>D78*L78</f>
        <v>2250</v>
      </c>
      <c r="N78" s="148">
        <f>C78*L78</f>
        <v>5000</v>
      </c>
      <c r="O78" s="137">
        <f>0.1*O47</f>
        <v>50</v>
      </c>
      <c r="P78" s="129">
        <f>F78*L78</f>
        <v>2000</v>
      </c>
      <c r="Q78" s="148">
        <f>E78*O78</f>
        <v>2750</v>
      </c>
      <c r="R78" s="448">
        <f>0.1*R47</f>
        <v>50</v>
      </c>
      <c r="S78" s="453">
        <f>I78*R78</f>
        <v>250</v>
      </c>
      <c r="T78" s="454">
        <f>G78*R78</f>
        <v>75</v>
      </c>
      <c r="U78" s="451">
        <f>H78*R78</f>
        <v>750</v>
      </c>
      <c r="V78" s="147" t="s">
        <v>97</v>
      </c>
    </row>
    <row r="79" spans="1:26" s="3" customFormat="1" x14ac:dyDescent="0.25">
      <c r="A79" s="385">
        <v>11</v>
      </c>
      <c r="B79" s="385" t="s">
        <v>45</v>
      </c>
      <c r="C79" s="388">
        <v>300</v>
      </c>
      <c r="D79" s="339" t="s">
        <v>43</v>
      </c>
      <c r="E79" s="348" t="s">
        <v>43</v>
      </c>
      <c r="F79" s="401">
        <v>300</v>
      </c>
      <c r="G79" s="330" t="s">
        <v>43</v>
      </c>
      <c r="H79" s="402">
        <v>0</v>
      </c>
      <c r="I79" s="351" t="s">
        <v>43</v>
      </c>
      <c r="J79" s="332" t="s">
        <v>43</v>
      </c>
      <c r="L79" s="173" t="s">
        <v>43</v>
      </c>
      <c r="M79" s="129" t="s">
        <v>43</v>
      </c>
      <c r="N79" s="172" t="s">
        <v>43</v>
      </c>
      <c r="O79" s="137">
        <f>0.1*O47</f>
        <v>50</v>
      </c>
      <c r="P79" s="129">
        <f>F79*O79</f>
        <v>15000</v>
      </c>
      <c r="Q79" s="172">
        <f>C79*O79</f>
        <v>15000</v>
      </c>
      <c r="R79" s="448" t="s">
        <v>43</v>
      </c>
      <c r="S79" s="449" t="s">
        <v>43</v>
      </c>
      <c r="T79" s="450" t="s">
        <v>43</v>
      </c>
      <c r="U79" s="451" t="s">
        <v>43</v>
      </c>
      <c r="V79" s="147" t="s">
        <v>97</v>
      </c>
    </row>
    <row r="80" spans="1:26" s="3" customFormat="1" x14ac:dyDescent="0.25">
      <c r="A80" s="385">
        <v>12</v>
      </c>
      <c r="B80" s="392" t="s">
        <v>62</v>
      </c>
      <c r="C80" s="388">
        <v>600</v>
      </c>
      <c r="D80" s="339" t="s">
        <v>43</v>
      </c>
      <c r="E80" s="348" t="s">
        <v>43</v>
      </c>
      <c r="F80" s="401" t="s">
        <v>43</v>
      </c>
      <c r="G80" s="327">
        <v>0</v>
      </c>
      <c r="H80" s="402" t="s">
        <v>43</v>
      </c>
      <c r="I80" s="351">
        <v>600</v>
      </c>
      <c r="J80" s="332">
        <v>0</v>
      </c>
      <c r="L80" s="173" t="s">
        <v>43</v>
      </c>
      <c r="M80" s="129" t="s">
        <v>43</v>
      </c>
      <c r="N80" s="172" t="s">
        <v>43</v>
      </c>
      <c r="O80" s="173" t="s">
        <v>43</v>
      </c>
      <c r="P80" s="129" t="s">
        <v>43</v>
      </c>
      <c r="Q80" s="172" t="s">
        <v>43</v>
      </c>
      <c r="R80" s="448">
        <f>0.1*R47</f>
        <v>50</v>
      </c>
      <c r="S80" s="449">
        <f>I80*R80</f>
        <v>30000</v>
      </c>
      <c r="T80" s="450" t="s">
        <v>43</v>
      </c>
      <c r="U80" s="451">
        <f>C80*R80</f>
        <v>30000</v>
      </c>
      <c r="V80" s="147" t="s">
        <v>97</v>
      </c>
      <c r="W80" s="1"/>
      <c r="X80" s="1"/>
      <c r="Y80" s="1"/>
      <c r="Z80" s="1"/>
    </row>
    <row r="81" spans="1:21" x14ac:dyDescent="0.25">
      <c r="A81" s="385">
        <v>13</v>
      </c>
      <c r="B81" s="385" t="s">
        <v>50</v>
      </c>
      <c r="C81" s="386" t="s">
        <v>43</v>
      </c>
      <c r="D81" s="339" t="s">
        <v>43</v>
      </c>
      <c r="E81" s="348" t="s">
        <v>52</v>
      </c>
      <c r="F81" s="343" t="s">
        <v>43</v>
      </c>
      <c r="G81" s="319" t="s">
        <v>43</v>
      </c>
      <c r="H81" s="402" t="s">
        <v>53</v>
      </c>
      <c r="I81" s="317" t="s">
        <v>43</v>
      </c>
      <c r="J81" s="332" t="s">
        <v>43</v>
      </c>
      <c r="L81" s="173" t="s">
        <v>43</v>
      </c>
      <c r="M81" s="129" t="s">
        <v>43</v>
      </c>
      <c r="N81" s="172" t="s">
        <v>43</v>
      </c>
      <c r="O81" s="173" t="s">
        <v>43</v>
      </c>
      <c r="P81" s="129" t="s">
        <v>43</v>
      </c>
      <c r="Q81" s="172" t="s">
        <v>43</v>
      </c>
      <c r="R81" s="448" t="s">
        <v>43</v>
      </c>
      <c r="S81" s="449" t="s">
        <v>43</v>
      </c>
      <c r="T81" s="450" t="s">
        <v>43</v>
      </c>
      <c r="U81" s="451" t="s">
        <v>43</v>
      </c>
    </row>
    <row r="82" spans="1:21" ht="16.5" thickBot="1" x14ac:dyDescent="0.3">
      <c r="A82" s="385">
        <v>14</v>
      </c>
      <c r="B82" s="385" t="s">
        <v>51</v>
      </c>
      <c r="C82" s="393" t="s">
        <v>43</v>
      </c>
      <c r="D82" s="349" t="s">
        <v>43</v>
      </c>
      <c r="E82" s="350" t="s">
        <v>53</v>
      </c>
      <c r="F82" s="403" t="s">
        <v>43</v>
      </c>
      <c r="G82" s="334" t="s">
        <v>43</v>
      </c>
      <c r="H82" s="404" t="s">
        <v>43</v>
      </c>
      <c r="I82" s="335" t="s">
        <v>43</v>
      </c>
      <c r="J82" s="336" t="s">
        <v>43</v>
      </c>
      <c r="L82" s="143" t="s">
        <v>43</v>
      </c>
      <c r="M82" s="144" t="s">
        <v>43</v>
      </c>
      <c r="N82" s="154" t="s">
        <v>43</v>
      </c>
      <c r="O82" s="143" t="s">
        <v>43</v>
      </c>
      <c r="P82" s="144" t="s">
        <v>43</v>
      </c>
      <c r="Q82" s="154" t="s">
        <v>43</v>
      </c>
      <c r="R82" s="468" t="s">
        <v>43</v>
      </c>
      <c r="S82" s="469" t="s">
        <v>43</v>
      </c>
      <c r="T82" s="470" t="s">
        <v>43</v>
      </c>
      <c r="U82" s="471" t="s">
        <v>43</v>
      </c>
    </row>
    <row r="83" spans="1:21" ht="16.5" thickBot="1" x14ac:dyDescent="0.3">
      <c r="L83" s="483"/>
      <c r="M83" s="484">
        <f>SUM(M66:M82)</f>
        <v>133750</v>
      </c>
      <c r="N83" s="485">
        <f>SUM(N66:N82)</f>
        <v>214000</v>
      </c>
      <c r="O83" s="483"/>
      <c r="P83" s="484">
        <f>SUM(P66:P82)</f>
        <v>27000</v>
      </c>
      <c r="Q83" s="485">
        <f>SUM(Q66:Q82)</f>
        <v>31500</v>
      </c>
      <c r="R83" s="487"/>
      <c r="S83" s="486">
        <f>SUM(S66:S82)</f>
        <v>46500</v>
      </c>
      <c r="T83" s="486">
        <f>SUM(T66:T82)</f>
        <v>450</v>
      </c>
      <c r="U83" s="488">
        <f>SUM(U66:U82)</f>
        <v>49500</v>
      </c>
    </row>
    <row r="85" spans="1:21" x14ac:dyDescent="0.25">
      <c r="M85" s="157">
        <f>M83/N83</f>
        <v>0.625</v>
      </c>
      <c r="P85" s="157">
        <f>P83/Q83</f>
        <v>0.8571428571428571</v>
      </c>
      <c r="S85" s="157">
        <f>(S83+T83)/U83</f>
        <v>0.94848484848484849</v>
      </c>
      <c r="T85" s="157"/>
    </row>
    <row r="88" spans="1:21" x14ac:dyDescent="0.25">
      <c r="J88" s="1" t="s">
        <v>72</v>
      </c>
      <c r="M88" s="123">
        <f>M18+M42+M60+M83</f>
        <v>4123250</v>
      </c>
      <c r="N88" s="123">
        <f>N18+N42+N60+N83</f>
        <v>5346500</v>
      </c>
      <c r="P88" s="123">
        <f>P18+P42+P60+P83</f>
        <v>1389000</v>
      </c>
      <c r="Q88" s="123">
        <f>Q18+Q42+Q60+Q83</f>
        <v>1135500</v>
      </c>
      <c r="R88" s="123"/>
      <c r="S88" s="123">
        <f>S18+S42+S60+S83</f>
        <v>288000</v>
      </c>
      <c r="T88" s="123"/>
      <c r="U88" s="123">
        <f>U18+U42+U60+U83</f>
        <v>-237600</v>
      </c>
    </row>
    <row r="89" spans="1:21" x14ac:dyDescent="0.25">
      <c r="M89" s="1" t="s">
        <v>73</v>
      </c>
      <c r="P89" s="123">
        <f>P88-P38-P79</f>
        <v>1344000</v>
      </c>
      <c r="Q89" s="123">
        <f>Q88-Q38-Q79</f>
        <v>1090500</v>
      </c>
      <c r="S89" s="123">
        <f>S88-S29-S39-S70-S80</f>
        <v>168000</v>
      </c>
      <c r="T89" s="123"/>
      <c r="U89" s="123">
        <f>U88-U29-U39-U70-U80</f>
        <v>-357600</v>
      </c>
    </row>
    <row r="90" spans="1:21" x14ac:dyDescent="0.25">
      <c r="M90" s="1" t="s">
        <v>74</v>
      </c>
      <c r="N90" s="123"/>
      <c r="S90" s="123"/>
      <c r="T90" s="123"/>
    </row>
    <row r="91" spans="1:21" x14ac:dyDescent="0.25">
      <c r="M91" s="1" t="s">
        <v>75</v>
      </c>
      <c r="P91" s="123"/>
      <c r="U91" s="123"/>
    </row>
    <row r="93" spans="1:21" x14ac:dyDescent="0.25">
      <c r="M93" s="157">
        <f>M88/N88</f>
        <v>0.77120546151688019</v>
      </c>
      <c r="P93" s="157">
        <f>P88/Q88</f>
        <v>1.2232496697490092</v>
      </c>
      <c r="S93" s="157">
        <f>S88/U88</f>
        <v>-1.2121212121212122</v>
      </c>
      <c r="T93" s="157"/>
    </row>
  </sheetData>
  <pageMargins left="0.23622047244094499" right="0.15748031496063" top="0.43307086614173201" bottom="0.27559055118110198" header="0.31496062992126" footer="0.15748031496063"/>
  <pageSetup paperSize="8" scale="80" orientation="landscape" r:id="rId1"/>
  <rowBreaks count="1" manualBreakCount="1">
    <brk id="45" max="23" man="1"/>
  </rowBreaks>
  <colBreaks count="1" manualBreakCount="1"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view="pageBreakPreview" topLeftCell="A10" zoomScale="90" zoomScaleNormal="20" zoomScaleSheetLayoutView="90" workbookViewId="0">
      <selection activeCell="H3" sqref="H3"/>
    </sheetView>
  </sheetViews>
  <sheetFormatPr defaultRowHeight="15.75" x14ac:dyDescent="0.25"/>
  <cols>
    <col min="1" max="1" width="4.7109375" style="1" customWidth="1"/>
    <col min="2" max="2" width="31.7109375" style="1" customWidth="1"/>
    <col min="3" max="3" width="14.7109375" style="1" bestFit="1" customWidth="1"/>
    <col min="4" max="4" width="9.7109375" style="1" customWidth="1"/>
    <col min="5" max="5" width="10.140625" style="1" customWidth="1"/>
    <col min="6" max="6" width="10" style="1" customWidth="1"/>
    <col min="7" max="7" width="10.85546875" style="1" bestFit="1" customWidth="1"/>
    <col min="8" max="8" width="12.5703125" style="1" customWidth="1"/>
    <col min="9" max="9" width="8.42578125" style="1" customWidth="1"/>
    <col min="10" max="10" width="11.85546875" style="1" bestFit="1" customWidth="1"/>
    <col min="11" max="11" width="4.42578125" style="1" customWidth="1"/>
    <col min="12" max="12" width="10.42578125" style="1" bestFit="1" customWidth="1"/>
    <col min="13" max="14" width="14.5703125" style="1" bestFit="1" customWidth="1"/>
    <col min="15" max="15" width="6.42578125" style="1" customWidth="1"/>
    <col min="16" max="17" width="14.5703125" style="1" customWidth="1"/>
    <col min="18" max="18" width="6.42578125" style="1" bestFit="1" customWidth="1"/>
    <col min="19" max="19" width="12.7109375" style="1" bestFit="1" customWidth="1"/>
    <col min="20" max="20" width="12.7109375" style="1" customWidth="1"/>
    <col min="21" max="21" width="14.5703125" style="1" bestFit="1" customWidth="1"/>
    <col min="22" max="22" width="14.42578125" style="1" bestFit="1" customWidth="1"/>
    <col min="23" max="23" width="15.42578125" style="1" bestFit="1" customWidth="1"/>
    <col min="24" max="24" width="9.7109375" style="1" bestFit="1" customWidth="1"/>
    <col min="25" max="25" width="16.85546875" style="1" bestFit="1" customWidth="1"/>
    <col min="26" max="26" width="9.140625" style="1"/>
    <col min="27" max="27" width="10.42578125" style="1" bestFit="1" customWidth="1"/>
    <col min="28" max="28" width="31.140625" style="1" bestFit="1" customWidth="1"/>
    <col min="29" max="29" width="14.7109375" style="1" bestFit="1" customWidth="1"/>
    <col min="30" max="30" width="9.7109375" style="1" bestFit="1" customWidth="1"/>
    <col min="31" max="31" width="16.85546875" style="1" bestFit="1" customWidth="1"/>
    <col min="32" max="16384" width="9.140625" style="1"/>
  </cols>
  <sheetData>
    <row r="1" spans="1:31" x14ac:dyDescent="0.25">
      <c r="B1" s="39" t="s">
        <v>22</v>
      </c>
    </row>
    <row r="3" spans="1:31" x14ac:dyDescent="0.25">
      <c r="A3" s="11"/>
      <c r="B3" s="37" t="s">
        <v>20</v>
      </c>
      <c r="C3" s="12"/>
      <c r="D3" s="12"/>
      <c r="E3" s="11"/>
      <c r="F3" s="11"/>
      <c r="G3" s="11"/>
      <c r="H3" s="11"/>
      <c r="I3" s="11"/>
      <c r="J3" s="11"/>
      <c r="AA3" s="11"/>
      <c r="AB3" s="11"/>
      <c r="AC3" s="12"/>
      <c r="AD3" s="11"/>
      <c r="AE3" s="11"/>
    </row>
    <row r="4" spans="1:31" ht="16.5" thickBot="1" x14ac:dyDescent="0.3">
      <c r="A4" s="3"/>
      <c r="B4" s="3"/>
      <c r="C4" s="71"/>
      <c r="D4" s="72">
        <v>0.15</v>
      </c>
      <c r="E4" s="72"/>
      <c r="F4" s="72">
        <v>0.5</v>
      </c>
      <c r="G4" s="72">
        <v>0.05</v>
      </c>
      <c r="H4" s="72"/>
      <c r="I4" s="72">
        <v>0.05</v>
      </c>
      <c r="J4" s="72"/>
      <c r="L4" s="1">
        <v>1000</v>
      </c>
      <c r="N4" s="101" t="s">
        <v>77</v>
      </c>
      <c r="O4" s="1">
        <f>L4</f>
        <v>1000</v>
      </c>
      <c r="P4" s="101"/>
      <c r="Q4" s="101" t="s">
        <v>102</v>
      </c>
      <c r="R4" s="1">
        <f>L4</f>
        <v>1000</v>
      </c>
      <c r="U4" s="101" t="s">
        <v>66</v>
      </c>
      <c r="Z4" s="11"/>
      <c r="AA4" s="12"/>
      <c r="AD4" s="19"/>
      <c r="AE4" s="19"/>
    </row>
    <row r="5" spans="1:31" ht="45" x14ac:dyDescent="0.25">
      <c r="A5" s="295"/>
      <c r="B5" s="296" t="s">
        <v>6</v>
      </c>
      <c r="C5" s="297" t="s">
        <v>36</v>
      </c>
      <c r="D5" s="254" t="s">
        <v>42</v>
      </c>
      <c r="E5" s="255" t="s">
        <v>162</v>
      </c>
      <c r="F5" s="574" t="s">
        <v>42</v>
      </c>
      <c r="G5" s="574" t="s">
        <v>165</v>
      </c>
      <c r="H5" s="575" t="s">
        <v>163</v>
      </c>
      <c r="I5" s="583" t="s">
        <v>42</v>
      </c>
      <c r="J5" s="584" t="s">
        <v>164</v>
      </c>
      <c r="L5" s="115" t="s">
        <v>64</v>
      </c>
      <c r="M5" s="135" t="s">
        <v>42</v>
      </c>
      <c r="N5" s="116" t="s">
        <v>65</v>
      </c>
      <c r="O5" s="115" t="s">
        <v>64</v>
      </c>
      <c r="P5" s="135" t="s">
        <v>42</v>
      </c>
      <c r="Q5" s="116" t="s">
        <v>65</v>
      </c>
      <c r="R5" s="417" t="s">
        <v>64</v>
      </c>
      <c r="S5" s="418" t="s">
        <v>42</v>
      </c>
      <c r="T5" s="419" t="s">
        <v>103</v>
      </c>
      <c r="U5" s="629" t="s">
        <v>65</v>
      </c>
    </row>
    <row r="6" spans="1:31" s="10" customFormat="1" x14ac:dyDescent="0.25">
      <c r="A6" s="298"/>
      <c r="B6" s="283" t="s">
        <v>10</v>
      </c>
      <c r="C6" s="284">
        <f>'for Dist.'!C6</f>
        <v>2880</v>
      </c>
      <c r="D6" s="256">
        <f>C6*D4</f>
        <v>432</v>
      </c>
      <c r="E6" s="257">
        <f>C6-D6</f>
        <v>2448</v>
      </c>
      <c r="F6" s="576">
        <f>(C25-1820-200)*F4+(C26+C28+C32)</f>
        <v>2880</v>
      </c>
      <c r="G6" s="576">
        <f>(E6)*G4</f>
        <v>122.4</v>
      </c>
      <c r="H6" s="577">
        <f>E6-F6-G6</f>
        <v>-554.4</v>
      </c>
      <c r="I6" s="585">
        <f>(C25-1820-200)*I4</f>
        <v>69</v>
      </c>
      <c r="J6" s="586">
        <f>H6-I6</f>
        <v>-623.4</v>
      </c>
      <c r="L6" s="407">
        <f>L4*0.5</f>
        <v>500</v>
      </c>
      <c r="M6" s="124">
        <f>D6*L6</f>
        <v>216000</v>
      </c>
      <c r="N6" s="113">
        <f>C6*L6</f>
        <v>1440000</v>
      </c>
      <c r="O6" s="127">
        <f>L6</f>
        <v>500</v>
      </c>
      <c r="P6" s="124">
        <f>F6*O6</f>
        <v>1440000</v>
      </c>
      <c r="Q6" s="113">
        <f>E6*O6</f>
        <v>1224000</v>
      </c>
      <c r="R6" s="421">
        <f>L6</f>
        <v>500</v>
      </c>
      <c r="S6" s="422">
        <f>I6*R6</f>
        <v>34500</v>
      </c>
      <c r="T6" s="423">
        <f>G6*R6</f>
        <v>61200</v>
      </c>
      <c r="U6" s="630">
        <f>H6*R6</f>
        <v>-277200</v>
      </c>
      <c r="V6" s="627" t="s">
        <v>197</v>
      </c>
    </row>
    <row r="7" spans="1:31" x14ac:dyDescent="0.25">
      <c r="A7" s="299"/>
      <c r="B7" s="619" t="s">
        <v>166</v>
      </c>
      <c r="C7" s="286" t="str">
        <f>'for Dist.'!C7</f>
        <v>Valued at 4,900</v>
      </c>
      <c r="D7" s="258"/>
      <c r="E7" s="259"/>
      <c r="F7" s="578"/>
      <c r="G7" s="578"/>
      <c r="H7" s="579"/>
      <c r="I7" s="587"/>
      <c r="J7" s="588"/>
      <c r="L7" s="408"/>
      <c r="M7" s="125"/>
      <c r="N7" s="111"/>
      <c r="O7" s="156"/>
      <c r="P7" s="125"/>
      <c r="Q7" s="111"/>
      <c r="R7" s="425"/>
      <c r="S7" s="426"/>
      <c r="T7" s="427"/>
      <c r="U7" s="631"/>
    </row>
    <row r="8" spans="1:31" x14ac:dyDescent="0.25">
      <c r="A8" s="299"/>
      <c r="B8" s="287" t="s">
        <v>12</v>
      </c>
      <c r="C8" s="288" t="str">
        <f>'for Dist.'!C9</f>
        <v xml:space="preserve">save 1640 </v>
      </c>
      <c r="D8" s="258"/>
      <c r="E8" s="259"/>
      <c r="F8" s="578"/>
      <c r="G8" s="578"/>
      <c r="H8" s="579"/>
      <c r="I8" s="587"/>
      <c r="J8" s="588"/>
      <c r="L8" s="409"/>
      <c r="M8" s="125"/>
      <c r="N8" s="111"/>
      <c r="O8" s="118"/>
      <c r="P8" s="125"/>
      <c r="Q8" s="111"/>
      <c r="R8" s="429"/>
      <c r="S8" s="426"/>
      <c r="T8" s="427"/>
      <c r="U8" s="631"/>
    </row>
    <row r="9" spans="1:31" x14ac:dyDescent="0.25">
      <c r="A9" s="299"/>
      <c r="B9" s="287" t="s">
        <v>35</v>
      </c>
      <c r="C9" s="289"/>
      <c r="D9" s="260"/>
      <c r="E9" s="259"/>
      <c r="F9" s="578"/>
      <c r="G9" s="578"/>
      <c r="H9" s="579"/>
      <c r="I9" s="587"/>
      <c r="J9" s="588"/>
      <c r="L9" s="409"/>
      <c r="M9" s="125"/>
      <c r="N9" s="111"/>
      <c r="O9" s="118"/>
      <c r="P9" s="125"/>
      <c r="Q9" s="111"/>
      <c r="R9" s="429"/>
      <c r="S9" s="426"/>
      <c r="T9" s="427"/>
      <c r="U9" s="631"/>
    </row>
    <row r="10" spans="1:31" x14ac:dyDescent="0.25">
      <c r="A10" s="300"/>
      <c r="B10" s="287" t="s">
        <v>54</v>
      </c>
      <c r="C10" s="289"/>
      <c r="D10" s="260"/>
      <c r="E10" s="259"/>
      <c r="F10" s="578"/>
      <c r="G10" s="578"/>
      <c r="H10" s="579"/>
      <c r="I10" s="587"/>
      <c r="J10" s="588"/>
      <c r="L10" s="410"/>
      <c r="M10" s="126"/>
      <c r="N10" s="114"/>
      <c r="O10" s="119"/>
      <c r="P10" s="126"/>
      <c r="Q10" s="114"/>
      <c r="R10" s="430"/>
      <c r="S10" s="431"/>
      <c r="T10" s="432"/>
      <c r="U10" s="632"/>
    </row>
    <row r="11" spans="1:31" x14ac:dyDescent="0.25">
      <c r="A11" s="301"/>
      <c r="B11" s="292" t="s">
        <v>14</v>
      </c>
      <c r="C11" s="293">
        <f>'for Dist.'!C11</f>
        <v>2330</v>
      </c>
      <c r="D11" s="256">
        <f>C11*D4</f>
        <v>349.5</v>
      </c>
      <c r="E11" s="257">
        <f>C11-D11</f>
        <v>1980.5</v>
      </c>
      <c r="F11" s="576">
        <f>(C25-1820)*F4+(C26+C28)</f>
        <v>1540</v>
      </c>
      <c r="G11" s="576">
        <f>(E11)*G4</f>
        <v>99.025000000000006</v>
      </c>
      <c r="H11" s="577">
        <f>E11-F11-G11</f>
        <v>341.47500000000002</v>
      </c>
      <c r="I11" s="585">
        <f>(C25-1820)*I4</f>
        <v>79</v>
      </c>
      <c r="J11" s="586">
        <f>H11-I11</f>
        <v>262.47500000000002</v>
      </c>
      <c r="L11" s="409">
        <f>L4*0.3</f>
        <v>300</v>
      </c>
      <c r="M11" s="124">
        <f>D11*L11</f>
        <v>104850</v>
      </c>
      <c r="N11" s="113">
        <f>C11*L11</f>
        <v>699000</v>
      </c>
      <c r="O11" s="118">
        <f>L11</f>
        <v>300</v>
      </c>
      <c r="P11" s="124">
        <f>F11*O11</f>
        <v>462000</v>
      </c>
      <c r="Q11" s="113">
        <f>E11*O11</f>
        <v>594150</v>
      </c>
      <c r="R11" s="429">
        <f>O11</f>
        <v>300</v>
      </c>
      <c r="S11" s="422">
        <f>I11*R11</f>
        <v>23700</v>
      </c>
      <c r="T11" s="423">
        <f>G11*R11</f>
        <v>29707.5</v>
      </c>
      <c r="U11" s="630">
        <f>H11*R11</f>
        <v>102442.5</v>
      </c>
      <c r="V11" s="627" t="s">
        <v>91</v>
      </c>
    </row>
    <row r="12" spans="1:31" x14ac:dyDescent="0.25">
      <c r="A12" s="299"/>
      <c r="B12" s="648" t="s">
        <v>166</v>
      </c>
      <c r="C12" s="286" t="str">
        <f>'for Dist.'!C12</f>
        <v>Valued at 4,150</v>
      </c>
      <c r="D12" s="258"/>
      <c r="E12" s="259"/>
      <c r="F12" s="578"/>
      <c r="G12" s="578"/>
      <c r="H12" s="579"/>
      <c r="I12" s="587"/>
      <c r="J12" s="588"/>
      <c r="L12" s="409"/>
      <c r="M12" s="125"/>
      <c r="N12" s="111"/>
      <c r="O12" s="118"/>
      <c r="P12" s="125"/>
      <c r="Q12" s="111"/>
      <c r="R12" s="429"/>
      <c r="S12" s="426"/>
      <c r="T12" s="427"/>
      <c r="U12" s="631"/>
    </row>
    <row r="13" spans="1:31" x14ac:dyDescent="0.25">
      <c r="A13" s="299"/>
      <c r="B13" s="619" t="s">
        <v>12</v>
      </c>
      <c r="C13" s="286" t="str">
        <f>'for Dist.'!C14</f>
        <v xml:space="preserve">save 1,820 </v>
      </c>
      <c r="D13" s="258"/>
      <c r="E13" s="259"/>
      <c r="F13" s="578"/>
      <c r="G13" s="578"/>
      <c r="H13" s="579"/>
      <c r="I13" s="587"/>
      <c r="J13" s="588"/>
      <c r="L13" s="409"/>
      <c r="M13" s="125"/>
      <c r="N13" s="111"/>
      <c r="O13" s="118"/>
      <c r="P13" s="125"/>
      <c r="Q13" s="111"/>
      <c r="R13" s="429"/>
      <c r="S13" s="426"/>
      <c r="T13" s="427"/>
      <c r="U13" s="631"/>
    </row>
    <row r="14" spans="1:31" x14ac:dyDescent="0.25">
      <c r="A14" s="300"/>
      <c r="B14" s="294" t="s">
        <v>35</v>
      </c>
      <c r="C14" s="288"/>
      <c r="D14" s="258"/>
      <c r="E14" s="262"/>
      <c r="F14" s="580"/>
      <c r="G14" s="580"/>
      <c r="H14" s="579"/>
      <c r="I14" s="589"/>
      <c r="J14" s="590"/>
      <c r="L14" s="409"/>
      <c r="M14" s="125"/>
      <c r="N14" s="111"/>
      <c r="O14" s="118"/>
      <c r="P14" s="125"/>
      <c r="Q14" s="111"/>
      <c r="R14" s="429"/>
      <c r="S14" s="426"/>
      <c r="T14" s="427"/>
      <c r="U14" s="631"/>
    </row>
    <row r="15" spans="1:31" x14ac:dyDescent="0.25">
      <c r="A15" s="301"/>
      <c r="B15" s="292" t="s">
        <v>23</v>
      </c>
      <c r="C15" s="293">
        <f>'for Dist.'!C15</f>
        <v>1580</v>
      </c>
      <c r="D15" s="256">
        <f>C15*D4</f>
        <v>237</v>
      </c>
      <c r="E15" s="257">
        <f>C15-D15</f>
        <v>1343</v>
      </c>
      <c r="F15" s="576">
        <f>(C25-1820)*F4</f>
        <v>790</v>
      </c>
      <c r="G15" s="576">
        <f>(E15)*G4</f>
        <v>67.150000000000006</v>
      </c>
      <c r="H15" s="577">
        <f>E15-F15-G15</f>
        <v>485.85</v>
      </c>
      <c r="I15" s="585">
        <f>(C25-1820)*I4</f>
        <v>79</v>
      </c>
      <c r="J15" s="586">
        <f>H15-I15</f>
        <v>406.85</v>
      </c>
      <c r="L15" s="411">
        <f>L4*0.2</f>
        <v>200</v>
      </c>
      <c r="M15" s="124">
        <f>D15*L15</f>
        <v>47400</v>
      </c>
      <c r="N15" s="113">
        <f>C15*L15</f>
        <v>316000</v>
      </c>
      <c r="O15" s="195">
        <f>L15</f>
        <v>200</v>
      </c>
      <c r="P15" s="124">
        <f>F15*O15</f>
        <v>158000</v>
      </c>
      <c r="Q15" s="113">
        <f>E15*O15</f>
        <v>268600</v>
      </c>
      <c r="R15" s="434">
        <f>O15</f>
        <v>200</v>
      </c>
      <c r="S15" s="422">
        <f>I15*R15</f>
        <v>15800</v>
      </c>
      <c r="T15" s="423">
        <f>G15*R15</f>
        <v>13430.000000000002</v>
      </c>
      <c r="U15" s="630">
        <f>H15*R15</f>
        <v>97170</v>
      </c>
      <c r="V15" s="628" t="s">
        <v>92</v>
      </c>
      <c r="W15" s="194"/>
      <c r="X15" s="194"/>
      <c r="Y15" s="194"/>
    </row>
    <row r="16" spans="1:31" x14ac:dyDescent="0.25">
      <c r="A16" s="299"/>
      <c r="B16" s="648" t="s">
        <v>166</v>
      </c>
      <c r="C16" s="288" t="str">
        <f>'for Dist.'!C16</f>
        <v>Valued at 3,400</v>
      </c>
      <c r="D16" s="260"/>
      <c r="E16" s="265"/>
      <c r="F16" s="581"/>
      <c r="G16" s="593"/>
      <c r="H16" s="597"/>
      <c r="I16" s="595"/>
      <c r="J16" s="591"/>
      <c r="L16" s="412"/>
      <c r="M16" s="214"/>
      <c r="N16" s="215"/>
      <c r="O16" s="213"/>
      <c r="P16" s="214"/>
      <c r="Q16" s="215"/>
      <c r="R16" s="429"/>
      <c r="S16" s="435"/>
      <c r="T16" s="436"/>
      <c r="U16" s="633"/>
      <c r="V16" s="194"/>
      <c r="W16" s="194"/>
      <c r="X16" s="194"/>
      <c r="Y16" s="194"/>
    </row>
    <row r="17" spans="1:22" ht="16.5" thickBot="1" x14ac:dyDescent="0.3">
      <c r="A17" s="302"/>
      <c r="B17" s="303"/>
      <c r="C17" s="304" t="str">
        <f>'for Dist.'!C17</f>
        <v xml:space="preserve">save 1,820 </v>
      </c>
      <c r="D17" s="266"/>
      <c r="E17" s="267"/>
      <c r="F17" s="582"/>
      <c r="G17" s="594"/>
      <c r="H17" s="598"/>
      <c r="I17" s="596"/>
      <c r="J17" s="592"/>
      <c r="L17" s="412"/>
      <c r="M17" s="405"/>
      <c r="N17" s="406"/>
      <c r="O17" s="213"/>
      <c r="P17" s="405"/>
      <c r="Q17" s="406"/>
      <c r="R17" s="429"/>
      <c r="S17" s="426"/>
      <c r="T17" s="427"/>
      <c r="U17" s="631"/>
    </row>
    <row r="18" spans="1:22" ht="16.5" thickBot="1" x14ac:dyDescent="0.3">
      <c r="L18" s="413">
        <f>SUM(L6:L15)</f>
        <v>1000</v>
      </c>
      <c r="M18" s="414">
        <f>SUM(M6:M17)</f>
        <v>368250</v>
      </c>
      <c r="N18" s="415">
        <f>SUM(N6:N17)</f>
        <v>2455000</v>
      </c>
      <c r="O18" s="416"/>
      <c r="P18" s="414">
        <f>SUM(P6:P17)</f>
        <v>2060000</v>
      </c>
      <c r="Q18" s="415">
        <f>SUM(Q6:Q17)</f>
        <v>2086750</v>
      </c>
      <c r="R18" s="438"/>
      <c r="S18" s="439">
        <f>SUM(S6:S17)</f>
        <v>74000</v>
      </c>
      <c r="T18" s="440">
        <f>SUM(T6:T17)</f>
        <v>104337.5</v>
      </c>
      <c r="U18" s="634">
        <f>SUM(U6:U17)</f>
        <v>-77587.5</v>
      </c>
    </row>
    <row r="19" spans="1:22" x14ac:dyDescent="0.25"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2" x14ac:dyDescent="0.25">
      <c r="L20" s="123"/>
      <c r="M20" s="157">
        <f>M18/N18</f>
        <v>0.15</v>
      </c>
      <c r="P20" s="157">
        <f>P18/Q18</f>
        <v>0.98718102312207978</v>
      </c>
      <c r="S20" s="157">
        <f>(S18+T18)/U18</f>
        <v>-2.2985339133236669</v>
      </c>
      <c r="T20" s="157"/>
    </row>
    <row r="21" spans="1:22" x14ac:dyDescent="0.25"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2" x14ac:dyDescent="0.25">
      <c r="B22" s="39" t="s">
        <v>46</v>
      </c>
    </row>
    <row r="23" spans="1:22" ht="16.5" thickBot="1" x14ac:dyDescent="0.3">
      <c r="A23" s="3"/>
      <c r="B23" s="3"/>
      <c r="C23" s="3"/>
      <c r="D23" s="42">
        <v>0.15</v>
      </c>
      <c r="E23" s="3"/>
      <c r="F23" s="42">
        <v>0.5</v>
      </c>
      <c r="G23" s="42">
        <v>0.05</v>
      </c>
      <c r="H23" s="3"/>
      <c r="I23" s="42">
        <v>0.05</v>
      </c>
      <c r="J23" s="42"/>
      <c r="N23" s="101" t="s">
        <v>77</v>
      </c>
      <c r="Q23" s="101" t="s">
        <v>102</v>
      </c>
      <c r="U23" s="101" t="s">
        <v>66</v>
      </c>
    </row>
    <row r="24" spans="1:22" s="3" customFormat="1" ht="30" x14ac:dyDescent="0.25">
      <c r="A24" s="308"/>
      <c r="B24" s="309" t="s">
        <v>6</v>
      </c>
      <c r="C24" s="310" t="s">
        <v>36</v>
      </c>
      <c r="D24" s="254" t="s">
        <v>42</v>
      </c>
      <c r="E24" s="255" t="s">
        <v>37</v>
      </c>
      <c r="F24" s="254" t="s">
        <v>42</v>
      </c>
      <c r="G24" s="312" t="s">
        <v>103</v>
      </c>
      <c r="H24" s="255" t="s">
        <v>38</v>
      </c>
      <c r="I24" s="311" t="s">
        <v>42</v>
      </c>
      <c r="J24" s="311" t="s">
        <v>39</v>
      </c>
      <c r="L24" s="115" t="s">
        <v>68</v>
      </c>
      <c r="M24" s="135" t="s">
        <v>42</v>
      </c>
      <c r="N24" s="116" t="s">
        <v>65</v>
      </c>
      <c r="O24" s="115" t="s">
        <v>68</v>
      </c>
      <c r="P24" s="135" t="s">
        <v>42</v>
      </c>
      <c r="Q24" s="116" t="s">
        <v>65</v>
      </c>
      <c r="R24" s="417" t="s">
        <v>68</v>
      </c>
      <c r="S24" s="442" t="s">
        <v>42</v>
      </c>
      <c r="T24" s="443" t="s">
        <v>103</v>
      </c>
      <c r="U24" s="444" t="s">
        <v>65</v>
      </c>
    </row>
    <row r="25" spans="1:22" s="3" customFormat="1" x14ac:dyDescent="0.25">
      <c r="A25" s="353">
        <v>1</v>
      </c>
      <c r="B25" s="645" t="s">
        <v>206</v>
      </c>
      <c r="C25" s="354">
        <v>3400</v>
      </c>
      <c r="D25" s="263">
        <f>C25*D23</f>
        <v>510</v>
      </c>
      <c r="E25" s="264">
        <f>C25-D25</f>
        <v>2890</v>
      </c>
      <c r="F25" s="268">
        <f>C25*F23</f>
        <v>1700</v>
      </c>
      <c r="G25" s="313">
        <f>G23*E25</f>
        <v>144.5</v>
      </c>
      <c r="H25" s="264">
        <f>E25-F25-G25</f>
        <v>1045.5</v>
      </c>
      <c r="I25" s="314">
        <f>C25*I23</f>
        <v>170</v>
      </c>
      <c r="J25" s="314">
        <f>H25-I25</f>
        <v>875.5</v>
      </c>
      <c r="L25" s="127">
        <v>0</v>
      </c>
      <c r="M25" s="124">
        <f>E25*L25</f>
        <v>0</v>
      </c>
      <c r="N25" s="113">
        <v>0</v>
      </c>
      <c r="O25" s="127">
        <v>0</v>
      </c>
      <c r="P25" s="124">
        <f>I25*O25</f>
        <v>0</v>
      </c>
      <c r="Q25" s="113">
        <v>0</v>
      </c>
      <c r="R25" s="421">
        <v>0</v>
      </c>
      <c r="S25" s="445">
        <f>I25*R25</f>
        <v>0</v>
      </c>
      <c r="T25" s="446">
        <v>0</v>
      </c>
      <c r="U25" s="447">
        <f>E25*R25</f>
        <v>0</v>
      </c>
    </row>
    <row r="26" spans="1:22" s="3" customFormat="1" x14ac:dyDescent="0.25">
      <c r="A26" s="353">
        <v>2</v>
      </c>
      <c r="B26" s="355" t="s">
        <v>0</v>
      </c>
      <c r="C26" s="356">
        <f>'for Dist.'!C24</f>
        <v>200</v>
      </c>
      <c r="D26" s="637" t="s">
        <v>43</v>
      </c>
      <c r="E26" s="338">
        <v>0</v>
      </c>
      <c r="F26" s="339">
        <v>200</v>
      </c>
      <c r="G26" s="316"/>
      <c r="H26" s="338" t="s">
        <v>43</v>
      </c>
      <c r="I26" s="317" t="s">
        <v>43</v>
      </c>
      <c r="J26" s="317" t="s">
        <v>43</v>
      </c>
      <c r="L26" s="137" t="s">
        <v>43</v>
      </c>
      <c r="M26" s="129">
        <v>0</v>
      </c>
      <c r="N26" s="148">
        <v>0</v>
      </c>
      <c r="O26" s="137">
        <f>(O11+O15)*0.5</f>
        <v>250</v>
      </c>
      <c r="P26" s="129">
        <f>F26</f>
        <v>200</v>
      </c>
      <c r="Q26" s="148">
        <f>O26*P26</f>
        <v>50000</v>
      </c>
      <c r="R26" s="448" t="s">
        <v>43</v>
      </c>
      <c r="S26" s="449" t="s">
        <v>43</v>
      </c>
      <c r="T26" s="450" t="s">
        <v>43</v>
      </c>
      <c r="U26" s="451" t="s">
        <v>43</v>
      </c>
      <c r="V26" s="147" t="s">
        <v>69</v>
      </c>
    </row>
    <row r="27" spans="1:22" s="3" customFormat="1" x14ac:dyDescent="0.25">
      <c r="A27" s="357">
        <v>3</v>
      </c>
      <c r="B27" s="618" t="s">
        <v>187</v>
      </c>
      <c r="C27" s="358">
        <f>'for Dist.'!C25</f>
        <v>500</v>
      </c>
      <c r="D27" s="639" t="s">
        <v>43</v>
      </c>
      <c r="E27" s="640" t="s">
        <v>43</v>
      </c>
      <c r="F27" s="268">
        <f>C27*F23</f>
        <v>250</v>
      </c>
      <c r="G27" s="313">
        <f>C27*G23</f>
        <v>25</v>
      </c>
      <c r="H27" s="264">
        <f>F27-G27</f>
        <v>225</v>
      </c>
      <c r="I27" s="314">
        <f>C27*I23</f>
        <v>25</v>
      </c>
      <c r="J27" s="314">
        <f>H27-I27</f>
        <v>200</v>
      </c>
      <c r="L27" s="137" t="s">
        <v>43</v>
      </c>
      <c r="M27" s="129" t="s">
        <v>43</v>
      </c>
      <c r="N27" s="148" t="s">
        <v>43</v>
      </c>
      <c r="O27" s="137">
        <f>0.1*O4</f>
        <v>100</v>
      </c>
      <c r="P27" s="129">
        <f>F27*O27</f>
        <v>25000</v>
      </c>
      <c r="Q27" s="148">
        <f>C27*O27</f>
        <v>50000</v>
      </c>
      <c r="R27" s="448">
        <f>0.1*R4</f>
        <v>100</v>
      </c>
      <c r="S27" s="449">
        <f>I27*R27</f>
        <v>2500</v>
      </c>
      <c r="T27" s="450">
        <f>G27*R27</f>
        <v>2500</v>
      </c>
      <c r="U27" s="451">
        <f>H27*R27</f>
        <v>22500</v>
      </c>
      <c r="V27" s="147" t="s">
        <v>93</v>
      </c>
    </row>
    <row r="28" spans="1:22" s="3" customFormat="1" x14ac:dyDescent="0.25">
      <c r="A28" s="359">
        <v>4</v>
      </c>
      <c r="B28" s="620" t="s">
        <v>189</v>
      </c>
      <c r="C28" s="361">
        <f>'for Dist.'!C27</f>
        <v>550</v>
      </c>
      <c r="D28" s="637" t="s">
        <v>43</v>
      </c>
      <c r="E28" s="636" t="s">
        <v>43</v>
      </c>
      <c r="F28" s="339">
        <v>550</v>
      </c>
      <c r="G28" s="319" t="s">
        <v>43</v>
      </c>
      <c r="H28" s="338" t="s">
        <v>43</v>
      </c>
      <c r="I28" s="317" t="s">
        <v>43</v>
      </c>
      <c r="J28" s="317" t="s">
        <v>43</v>
      </c>
      <c r="L28" s="137" t="s">
        <v>43</v>
      </c>
      <c r="M28" s="129" t="s">
        <v>43</v>
      </c>
      <c r="N28" s="148" t="s">
        <v>43</v>
      </c>
      <c r="O28" s="137">
        <f>0.3*O15</f>
        <v>60</v>
      </c>
      <c r="P28" s="129">
        <f>F28*O28</f>
        <v>33000</v>
      </c>
      <c r="Q28" s="148">
        <f>F28*O28</f>
        <v>33000</v>
      </c>
      <c r="R28" s="448" t="s">
        <v>43</v>
      </c>
      <c r="S28" s="449" t="s">
        <v>43</v>
      </c>
      <c r="T28" s="450" t="s">
        <v>43</v>
      </c>
      <c r="U28" s="451" t="s">
        <v>43</v>
      </c>
      <c r="V28" s="147" t="s">
        <v>71</v>
      </c>
    </row>
    <row r="29" spans="1:22" s="3" customFormat="1" x14ac:dyDescent="0.25">
      <c r="A29" s="359">
        <v>5</v>
      </c>
      <c r="B29" s="360" t="s">
        <v>58</v>
      </c>
      <c r="C29" s="361">
        <v>150</v>
      </c>
      <c r="D29" s="341" t="s">
        <v>43</v>
      </c>
      <c r="E29" s="342" t="s">
        <v>43</v>
      </c>
      <c r="F29" s="341" t="s">
        <v>43</v>
      </c>
      <c r="G29" s="319" t="s">
        <v>43</v>
      </c>
      <c r="H29" s="342" t="s">
        <v>43</v>
      </c>
      <c r="I29" s="317">
        <v>150</v>
      </c>
      <c r="J29" s="317">
        <v>0</v>
      </c>
      <c r="L29" s="137" t="s">
        <v>43</v>
      </c>
      <c r="M29" s="129" t="s">
        <v>43</v>
      </c>
      <c r="N29" s="148" t="s">
        <v>43</v>
      </c>
      <c r="O29" s="137" t="s">
        <v>43</v>
      </c>
      <c r="P29" s="129" t="s">
        <v>43</v>
      </c>
      <c r="Q29" s="148" t="s">
        <v>43</v>
      </c>
      <c r="R29" s="448">
        <f>R6*0.2</f>
        <v>100</v>
      </c>
      <c r="S29" s="449">
        <f>I29*R29</f>
        <v>15000</v>
      </c>
      <c r="T29" s="450" t="s">
        <v>43</v>
      </c>
      <c r="U29" s="451">
        <f>C29*R29</f>
        <v>15000</v>
      </c>
      <c r="V29" s="147" t="s">
        <v>92</v>
      </c>
    </row>
    <row r="30" spans="1:22" s="3" customFormat="1" x14ac:dyDescent="0.25">
      <c r="A30" s="362">
        <v>6</v>
      </c>
      <c r="B30" s="360" t="s">
        <v>8</v>
      </c>
      <c r="C30" s="361">
        <f>'for Dist.'!C28</f>
        <v>280</v>
      </c>
      <c r="D30" s="637" t="s">
        <v>43</v>
      </c>
      <c r="E30" s="338">
        <v>0</v>
      </c>
      <c r="F30" s="339">
        <f>C30</f>
        <v>280</v>
      </c>
      <c r="G30" s="319" t="s">
        <v>43</v>
      </c>
      <c r="H30" s="338" t="s">
        <v>43</v>
      </c>
      <c r="I30" s="317" t="s">
        <v>43</v>
      </c>
      <c r="J30" s="317" t="s">
        <v>43</v>
      </c>
      <c r="L30" s="140" t="s">
        <v>43</v>
      </c>
      <c r="M30" s="129" t="s">
        <v>43</v>
      </c>
      <c r="N30" s="148" t="s">
        <v>43</v>
      </c>
      <c r="O30" s="140">
        <f>(O11+O15)*0.2</f>
        <v>100</v>
      </c>
      <c r="P30" s="129">
        <f>F30</f>
        <v>280</v>
      </c>
      <c r="Q30" s="148">
        <f>F30*O30</f>
        <v>28000</v>
      </c>
      <c r="R30" s="452" t="s">
        <v>43</v>
      </c>
      <c r="S30" s="453" t="s">
        <v>43</v>
      </c>
      <c r="T30" s="454" t="s">
        <v>43</v>
      </c>
      <c r="U30" s="455" t="s">
        <v>43</v>
      </c>
      <c r="V30" s="147" t="s">
        <v>70</v>
      </c>
    </row>
    <row r="31" spans="1:22" s="3" customFormat="1" x14ac:dyDescent="0.25">
      <c r="A31" s="359">
        <v>7</v>
      </c>
      <c r="B31" s="360" t="s">
        <v>26</v>
      </c>
      <c r="C31" s="363">
        <f>'for Dist.'!C29</f>
        <v>50</v>
      </c>
      <c r="D31" s="637" t="s">
        <v>43</v>
      </c>
      <c r="E31" s="338" t="s">
        <v>43</v>
      </c>
      <c r="F31" s="343">
        <f>C31</f>
        <v>50</v>
      </c>
      <c r="G31" s="319" t="s">
        <v>43</v>
      </c>
      <c r="H31" s="344" t="s">
        <v>43</v>
      </c>
      <c r="I31" s="321" t="s">
        <v>43</v>
      </c>
      <c r="J31" s="321" t="s">
        <v>43</v>
      </c>
      <c r="L31" s="140" t="s">
        <v>43</v>
      </c>
      <c r="M31" s="129" t="s">
        <v>43</v>
      </c>
      <c r="N31" s="148" t="s">
        <v>43</v>
      </c>
      <c r="O31" s="140">
        <f>(O11+O15)*0.2</f>
        <v>100</v>
      </c>
      <c r="P31" s="129">
        <f>F31</f>
        <v>50</v>
      </c>
      <c r="Q31" s="148">
        <f>F31*O31</f>
        <v>5000</v>
      </c>
      <c r="R31" s="452" t="s">
        <v>43</v>
      </c>
      <c r="S31" s="456" t="s">
        <v>43</v>
      </c>
      <c r="T31" s="457" t="s">
        <v>43</v>
      </c>
      <c r="U31" s="458" t="s">
        <v>43</v>
      </c>
      <c r="V31" s="147" t="s">
        <v>70</v>
      </c>
    </row>
    <row r="32" spans="1:22" s="3" customFormat="1" x14ac:dyDescent="0.25">
      <c r="A32" s="359">
        <v>8</v>
      </c>
      <c r="B32" s="364" t="s">
        <v>9</v>
      </c>
      <c r="C32" s="354">
        <f>'for Dist.'!C30</f>
        <v>1440</v>
      </c>
      <c r="D32" s="639" t="s">
        <v>43</v>
      </c>
      <c r="E32" s="345">
        <v>0</v>
      </c>
      <c r="F32" s="346">
        <f>C32</f>
        <v>1440</v>
      </c>
      <c r="G32" s="322" t="s">
        <v>43</v>
      </c>
      <c r="H32" s="347" t="s">
        <v>43</v>
      </c>
      <c r="I32" s="323" t="s">
        <v>43</v>
      </c>
      <c r="J32" s="323" t="s">
        <v>43</v>
      </c>
      <c r="L32" s="140" t="s">
        <v>43</v>
      </c>
      <c r="M32" s="131" t="s">
        <v>43</v>
      </c>
      <c r="N32" s="149" t="s">
        <v>43</v>
      </c>
      <c r="O32" s="140">
        <f>(O11+O15)*0.2</f>
        <v>100</v>
      </c>
      <c r="P32" s="131">
        <f>F32</f>
        <v>1440</v>
      </c>
      <c r="Q32" s="149">
        <f>F32*O32</f>
        <v>144000</v>
      </c>
      <c r="R32" s="452" t="s">
        <v>43</v>
      </c>
      <c r="S32" s="459" t="s">
        <v>43</v>
      </c>
      <c r="T32" s="457" t="s">
        <v>43</v>
      </c>
      <c r="U32" s="458" t="s">
        <v>43</v>
      </c>
      <c r="V32" s="147" t="s">
        <v>70</v>
      </c>
    </row>
    <row r="33" spans="1:28" s="3" customFormat="1" x14ac:dyDescent="0.25">
      <c r="A33" s="365"/>
      <c r="B33" s="366" t="s">
        <v>31</v>
      </c>
      <c r="C33" s="367"/>
      <c r="D33" s="260"/>
      <c r="E33" s="259"/>
      <c r="F33" s="260"/>
      <c r="G33" s="325"/>
      <c r="H33" s="259"/>
      <c r="I33" s="326"/>
      <c r="J33" s="326"/>
      <c r="L33" s="110"/>
      <c r="M33" s="125"/>
      <c r="N33" s="150"/>
      <c r="O33" s="110"/>
      <c r="P33" s="125"/>
      <c r="Q33" s="150"/>
      <c r="R33" s="460"/>
      <c r="S33" s="461"/>
      <c r="T33" s="462"/>
      <c r="U33" s="427"/>
    </row>
    <row r="34" spans="1:28" s="3" customFormat="1" x14ac:dyDescent="0.25">
      <c r="A34" s="368"/>
      <c r="B34" s="647" t="s">
        <v>27</v>
      </c>
      <c r="C34" s="367"/>
      <c r="D34" s="260"/>
      <c r="E34" s="259"/>
      <c r="F34" s="260"/>
      <c r="G34" s="325"/>
      <c r="H34" s="259"/>
      <c r="I34" s="326"/>
      <c r="J34" s="326"/>
      <c r="L34" s="110"/>
      <c r="M34" s="174"/>
      <c r="N34" s="151"/>
      <c r="O34" s="110"/>
      <c r="P34" s="174"/>
      <c r="Q34" s="151"/>
      <c r="R34" s="460"/>
      <c r="S34" s="463"/>
      <c r="T34" s="464"/>
      <c r="U34" s="436"/>
    </row>
    <row r="35" spans="1:28" s="3" customFormat="1" x14ac:dyDescent="0.25">
      <c r="A35" s="368"/>
      <c r="B35" s="366" t="s">
        <v>30</v>
      </c>
      <c r="C35" s="367"/>
      <c r="D35" s="260"/>
      <c r="E35" s="259"/>
      <c r="F35" s="260"/>
      <c r="G35" s="325"/>
      <c r="H35" s="259"/>
      <c r="I35" s="326"/>
      <c r="J35" s="326"/>
      <c r="L35" s="142"/>
      <c r="M35" s="126"/>
      <c r="N35" s="152"/>
      <c r="O35" s="142"/>
      <c r="P35" s="126"/>
      <c r="Q35" s="152"/>
      <c r="R35" s="465"/>
      <c r="S35" s="466"/>
      <c r="T35" s="467"/>
      <c r="U35" s="432"/>
    </row>
    <row r="36" spans="1:28" s="3" customFormat="1" x14ac:dyDescent="0.25">
      <c r="A36" s="357">
        <v>9</v>
      </c>
      <c r="B36" s="360" t="s">
        <v>32</v>
      </c>
      <c r="C36" s="361">
        <f>'for Dist.'!C34</f>
        <v>1050</v>
      </c>
      <c r="D36" s="635" t="s">
        <v>43</v>
      </c>
      <c r="E36" s="640" t="s">
        <v>43</v>
      </c>
      <c r="F36" s="340">
        <f>C36*F23</f>
        <v>525</v>
      </c>
      <c r="G36" s="327">
        <f>C36*G23</f>
        <v>52.5</v>
      </c>
      <c r="H36" s="264">
        <f>C36-F36</f>
        <v>525</v>
      </c>
      <c r="I36" s="351">
        <f>C36*I23</f>
        <v>52.5</v>
      </c>
      <c r="J36" s="314">
        <f>H36-I36</f>
        <v>472.5</v>
      </c>
      <c r="L36" s="173" t="s">
        <v>43</v>
      </c>
      <c r="M36" s="129" t="s">
        <v>43</v>
      </c>
      <c r="N36" s="172" t="s">
        <v>43</v>
      </c>
      <c r="O36" s="173" t="s">
        <v>43</v>
      </c>
      <c r="P36" s="129" t="s">
        <v>43</v>
      </c>
      <c r="Q36" s="172" t="s">
        <v>43</v>
      </c>
      <c r="R36" s="448" t="s">
        <v>43</v>
      </c>
      <c r="S36" s="449" t="s">
        <v>43</v>
      </c>
      <c r="T36" s="450" t="s">
        <v>43</v>
      </c>
      <c r="U36" s="451" t="s">
        <v>43</v>
      </c>
    </row>
    <row r="37" spans="1:28" s="3" customFormat="1" x14ac:dyDescent="0.25">
      <c r="A37" s="357">
        <v>10</v>
      </c>
      <c r="B37" s="364" t="s">
        <v>56</v>
      </c>
      <c r="C37" s="354">
        <f>'for Dist.'!C35</f>
        <v>100</v>
      </c>
      <c r="D37" s="638" t="s">
        <v>43</v>
      </c>
      <c r="E37" s="640" t="s">
        <v>43</v>
      </c>
      <c r="F37" s="263">
        <f>F23*C37</f>
        <v>50</v>
      </c>
      <c r="G37" s="329">
        <f>C37*G23</f>
        <v>5</v>
      </c>
      <c r="H37" s="264">
        <f>C37-F37</f>
        <v>50</v>
      </c>
      <c r="I37" s="352">
        <f>C37*I23</f>
        <v>5</v>
      </c>
      <c r="J37" s="314">
        <f>H37-I37</f>
        <v>45</v>
      </c>
      <c r="L37" s="137" t="s">
        <v>43</v>
      </c>
      <c r="M37" s="129" t="s">
        <v>43</v>
      </c>
      <c r="N37" s="148" t="s">
        <v>43</v>
      </c>
      <c r="O37" s="137">
        <f>0.1*O4</f>
        <v>100</v>
      </c>
      <c r="P37" s="129">
        <f>F37*O37</f>
        <v>5000</v>
      </c>
      <c r="Q37" s="148">
        <f>C37*O37</f>
        <v>10000</v>
      </c>
      <c r="R37" s="448">
        <f>0.1*R4</f>
        <v>100</v>
      </c>
      <c r="S37" s="453">
        <f>I37*R37</f>
        <v>500</v>
      </c>
      <c r="T37" s="453">
        <f>G37*R37</f>
        <v>500</v>
      </c>
      <c r="U37" s="451">
        <f>H37*R37</f>
        <v>5000</v>
      </c>
      <c r="V37" s="147" t="s">
        <v>93</v>
      </c>
    </row>
    <row r="38" spans="1:28" s="3" customFormat="1" x14ac:dyDescent="0.25">
      <c r="A38" s="357">
        <v>11</v>
      </c>
      <c r="B38" s="360" t="s">
        <v>45</v>
      </c>
      <c r="C38" s="361">
        <v>300</v>
      </c>
      <c r="D38" s="339" t="s">
        <v>43</v>
      </c>
      <c r="E38" s="348" t="s">
        <v>43</v>
      </c>
      <c r="F38" s="340">
        <v>300</v>
      </c>
      <c r="G38" s="330" t="s">
        <v>43</v>
      </c>
      <c r="H38" s="348">
        <v>0</v>
      </c>
      <c r="I38" s="351" t="s">
        <v>43</v>
      </c>
      <c r="J38" s="331" t="s">
        <v>43</v>
      </c>
      <c r="L38" s="173" t="s">
        <v>43</v>
      </c>
      <c r="M38" s="129" t="s">
        <v>43</v>
      </c>
      <c r="N38" s="172" t="s">
        <v>43</v>
      </c>
      <c r="O38" s="137">
        <f>0.1*O4</f>
        <v>100</v>
      </c>
      <c r="P38" s="129">
        <f>F38*O38</f>
        <v>30000</v>
      </c>
      <c r="Q38" s="172">
        <f>C38*O38</f>
        <v>30000</v>
      </c>
      <c r="R38" s="448" t="s">
        <v>43</v>
      </c>
      <c r="S38" s="449" t="s">
        <v>43</v>
      </c>
      <c r="T38" s="450" t="s">
        <v>43</v>
      </c>
      <c r="U38" s="451" t="s">
        <v>43</v>
      </c>
      <c r="V38" s="147" t="s">
        <v>93</v>
      </c>
    </row>
    <row r="39" spans="1:28" s="3" customFormat="1" x14ac:dyDescent="0.25">
      <c r="A39" s="357">
        <v>12</v>
      </c>
      <c r="B39" s="364" t="s">
        <v>62</v>
      </c>
      <c r="C39" s="354">
        <v>600</v>
      </c>
      <c r="D39" s="346" t="s">
        <v>43</v>
      </c>
      <c r="E39" s="264" t="s">
        <v>43</v>
      </c>
      <c r="F39" s="263" t="s">
        <v>43</v>
      </c>
      <c r="G39" s="333" t="s">
        <v>43</v>
      </c>
      <c r="H39" s="264" t="s">
        <v>43</v>
      </c>
      <c r="I39" s="352">
        <v>600</v>
      </c>
      <c r="J39" s="314">
        <v>0</v>
      </c>
      <c r="L39" s="173" t="s">
        <v>43</v>
      </c>
      <c r="M39" s="129" t="s">
        <v>43</v>
      </c>
      <c r="N39" s="172" t="s">
        <v>43</v>
      </c>
      <c r="O39" s="173" t="s">
        <v>43</v>
      </c>
      <c r="P39" s="129" t="s">
        <v>43</v>
      </c>
      <c r="Q39" s="172" t="s">
        <v>43</v>
      </c>
      <c r="R39" s="448">
        <f>0.1*R4</f>
        <v>100</v>
      </c>
      <c r="S39" s="449">
        <f>I39*R39</f>
        <v>60000</v>
      </c>
      <c r="T39" s="450" t="s">
        <v>43</v>
      </c>
      <c r="U39" s="451">
        <f>C39*R39</f>
        <v>60000</v>
      </c>
      <c r="V39" s="147" t="s">
        <v>93</v>
      </c>
      <c r="W39" s="1"/>
      <c r="X39" s="1"/>
      <c r="Y39" s="1"/>
      <c r="Z39" s="1"/>
      <c r="AA39" s="1"/>
      <c r="AB39" s="1"/>
    </row>
    <row r="40" spans="1:28" x14ac:dyDescent="0.25">
      <c r="A40" s="357">
        <v>13</v>
      </c>
      <c r="B40" s="360" t="s">
        <v>50</v>
      </c>
      <c r="C40" s="358" t="s">
        <v>43</v>
      </c>
      <c r="D40" s="339" t="s">
        <v>43</v>
      </c>
      <c r="E40" s="348" t="s">
        <v>52</v>
      </c>
      <c r="F40" s="339" t="s">
        <v>43</v>
      </c>
      <c r="G40" s="319" t="s">
        <v>43</v>
      </c>
      <c r="H40" s="348" t="s">
        <v>53</v>
      </c>
      <c r="I40" s="317" t="s">
        <v>43</v>
      </c>
      <c r="J40" s="331" t="s">
        <v>43</v>
      </c>
      <c r="L40" s="173" t="s">
        <v>43</v>
      </c>
      <c r="M40" s="129" t="s">
        <v>43</v>
      </c>
      <c r="N40" s="172" t="s">
        <v>43</v>
      </c>
      <c r="O40" s="173" t="s">
        <v>43</v>
      </c>
      <c r="P40" s="129" t="s">
        <v>43</v>
      </c>
      <c r="Q40" s="172" t="s">
        <v>43</v>
      </c>
      <c r="R40" s="448" t="s">
        <v>43</v>
      </c>
      <c r="S40" s="449" t="s">
        <v>43</v>
      </c>
      <c r="T40" s="450" t="s">
        <v>43</v>
      </c>
      <c r="U40" s="451" t="s">
        <v>43</v>
      </c>
    </row>
    <row r="41" spans="1:28" ht="16.5" thickBot="1" x14ac:dyDescent="0.3">
      <c r="A41" s="369">
        <v>14</v>
      </c>
      <c r="B41" s="370" t="s">
        <v>51</v>
      </c>
      <c r="C41" s="371" t="s">
        <v>43</v>
      </c>
      <c r="D41" s="349" t="s">
        <v>43</v>
      </c>
      <c r="E41" s="350" t="s">
        <v>53</v>
      </c>
      <c r="F41" s="349" t="s">
        <v>43</v>
      </c>
      <c r="G41" s="334" t="s">
        <v>43</v>
      </c>
      <c r="H41" s="350" t="s">
        <v>43</v>
      </c>
      <c r="I41" s="335" t="s">
        <v>43</v>
      </c>
      <c r="J41" s="335" t="s">
        <v>43</v>
      </c>
      <c r="L41" s="120" t="s">
        <v>43</v>
      </c>
      <c r="M41" s="131" t="s">
        <v>43</v>
      </c>
      <c r="N41" s="155" t="s">
        <v>43</v>
      </c>
      <c r="O41" s="120" t="s">
        <v>43</v>
      </c>
      <c r="P41" s="131" t="s">
        <v>43</v>
      </c>
      <c r="Q41" s="155" t="s">
        <v>43</v>
      </c>
      <c r="R41" s="434" t="s">
        <v>43</v>
      </c>
      <c r="S41" s="456" t="s">
        <v>43</v>
      </c>
      <c r="T41" s="457" t="s">
        <v>43</v>
      </c>
      <c r="U41" s="458" t="s">
        <v>43</v>
      </c>
    </row>
    <row r="42" spans="1:28" ht="16.5" thickBot="1" x14ac:dyDescent="0.3">
      <c r="L42" s="473"/>
      <c r="M42" s="414">
        <f>SUM(M25:M41)</f>
        <v>0</v>
      </c>
      <c r="N42" s="415">
        <f>SUM(N25:N41)</f>
        <v>0</v>
      </c>
      <c r="O42" s="473"/>
      <c r="P42" s="414">
        <f>SUM(P25:P41)</f>
        <v>94970</v>
      </c>
      <c r="Q42" s="415">
        <f>SUM(Q25:Q41)</f>
        <v>350000</v>
      </c>
      <c r="R42" s="438"/>
      <c r="S42" s="474">
        <f>SUM(S25:S41)</f>
        <v>78000</v>
      </c>
      <c r="T42" s="474">
        <f>SUM(T25:T41)</f>
        <v>3000</v>
      </c>
      <c r="U42" s="439">
        <f>SUM(U25:U41)</f>
        <v>102500</v>
      </c>
    </row>
    <row r="44" spans="1:28" x14ac:dyDescent="0.25">
      <c r="M44" s="157" t="s">
        <v>43</v>
      </c>
      <c r="P44" s="157">
        <f>P42/Q42</f>
        <v>0.27134285714285716</v>
      </c>
      <c r="S44" s="157">
        <f>(S42+T42)/U42</f>
        <v>0.79024390243902443</v>
      </c>
      <c r="T44" s="157"/>
    </row>
    <row r="46" spans="1:28" x14ac:dyDescent="0.25">
      <c r="A46" s="11"/>
      <c r="B46" s="37" t="s">
        <v>204</v>
      </c>
      <c r="C46" s="12"/>
      <c r="D46" s="12"/>
      <c r="E46" s="11"/>
      <c r="F46" s="11"/>
      <c r="G46" s="11"/>
      <c r="H46" s="11"/>
      <c r="I46" s="11"/>
    </row>
    <row r="47" spans="1:28" ht="16.5" thickBot="1" x14ac:dyDescent="0.3">
      <c r="D47" s="72">
        <v>0.15</v>
      </c>
      <c r="E47" s="72"/>
      <c r="F47" s="72">
        <v>0.5</v>
      </c>
      <c r="G47" s="72">
        <v>0.05</v>
      </c>
      <c r="H47" s="72"/>
      <c r="I47" s="72">
        <v>0.05</v>
      </c>
      <c r="J47" s="72"/>
      <c r="L47" s="1">
        <v>500</v>
      </c>
      <c r="N47" s="101" t="s">
        <v>77</v>
      </c>
      <c r="O47" s="1">
        <v>500</v>
      </c>
      <c r="Q47" s="101" t="s">
        <v>102</v>
      </c>
      <c r="R47" s="1">
        <v>500</v>
      </c>
      <c r="U47" s="101" t="s">
        <v>66</v>
      </c>
    </row>
    <row r="48" spans="1:28" ht="30" x14ac:dyDescent="0.25">
      <c r="A48" s="376"/>
      <c r="B48" s="309" t="s">
        <v>6</v>
      </c>
      <c r="C48" s="377" t="s">
        <v>2</v>
      </c>
      <c r="D48" s="254" t="s">
        <v>42</v>
      </c>
      <c r="E48" s="255" t="s">
        <v>37</v>
      </c>
      <c r="F48" s="254" t="s">
        <v>42</v>
      </c>
      <c r="G48" s="254" t="s">
        <v>103</v>
      </c>
      <c r="H48" s="255" t="s">
        <v>38</v>
      </c>
      <c r="I48" s="254" t="s">
        <v>42</v>
      </c>
      <c r="J48" s="255" t="s">
        <v>39</v>
      </c>
      <c r="L48" s="115" t="s">
        <v>64</v>
      </c>
      <c r="M48" s="135" t="s">
        <v>42</v>
      </c>
      <c r="N48" s="116" t="s">
        <v>65</v>
      </c>
      <c r="O48" s="115" t="s">
        <v>64</v>
      </c>
      <c r="P48" s="135" t="s">
        <v>42</v>
      </c>
      <c r="Q48" s="116" t="s">
        <v>65</v>
      </c>
      <c r="R48" s="417" t="s">
        <v>64</v>
      </c>
      <c r="S48" s="418" t="s">
        <v>42</v>
      </c>
      <c r="T48" s="419" t="s">
        <v>103</v>
      </c>
      <c r="U48" s="444" t="s">
        <v>65</v>
      </c>
    </row>
    <row r="49" spans="1:23" x14ac:dyDescent="0.25">
      <c r="A49" s="378"/>
      <c r="B49" s="644" t="s">
        <v>200</v>
      </c>
      <c r="C49" s="372">
        <f>'for Dist.'!I6</f>
        <v>5080</v>
      </c>
      <c r="D49" s="256">
        <f>C49*D47</f>
        <v>762</v>
      </c>
      <c r="E49" s="257">
        <f>C49-D49</f>
        <v>4318</v>
      </c>
      <c r="F49" s="256">
        <f>(C66+(C68*5)-1820-C68-C67)*F47+(C67+C69+C73)</f>
        <v>5040</v>
      </c>
      <c r="G49" s="271">
        <f>E49*G47</f>
        <v>215.9</v>
      </c>
      <c r="H49" s="257">
        <f>E49-F49-G49</f>
        <v>-937.9</v>
      </c>
      <c r="I49" s="271">
        <f>(C66+(C68*5)-1820-C68-C67)*I47</f>
        <v>169</v>
      </c>
      <c r="J49" s="272">
        <f>H49-I49</f>
        <v>-1106.9000000000001</v>
      </c>
      <c r="L49" s="127">
        <f>L47*0.5</f>
        <v>250</v>
      </c>
      <c r="M49" s="124">
        <f>D49*L49</f>
        <v>190500</v>
      </c>
      <c r="N49" s="113">
        <f>C49*L49</f>
        <v>1270000</v>
      </c>
      <c r="O49" s="127">
        <f>L49</f>
        <v>250</v>
      </c>
      <c r="P49" s="124">
        <f>F49*O49</f>
        <v>1260000</v>
      </c>
      <c r="Q49" s="113">
        <f>E49*O49</f>
        <v>1079500</v>
      </c>
      <c r="R49" s="421">
        <f>L49</f>
        <v>250</v>
      </c>
      <c r="S49" s="422">
        <f>I49*R49</f>
        <v>42250</v>
      </c>
      <c r="T49" s="423">
        <f>G49*R49</f>
        <v>53975</v>
      </c>
      <c r="U49" s="447">
        <f>H49*R49</f>
        <v>-234475</v>
      </c>
      <c r="V49" s="616" t="s">
        <v>191</v>
      </c>
      <c r="W49" s="10"/>
    </row>
    <row r="50" spans="1:23" x14ac:dyDescent="0.25">
      <c r="A50" s="379"/>
      <c r="B50" s="648" t="s">
        <v>166</v>
      </c>
      <c r="C50" s="373" t="str">
        <f>'for Dist.'!I7</f>
        <v>Valued at 7,600</v>
      </c>
      <c r="D50" s="258"/>
      <c r="E50" s="259"/>
      <c r="F50" s="260"/>
      <c r="G50" s="273"/>
      <c r="H50" s="259"/>
      <c r="I50" s="273"/>
      <c r="J50" s="274"/>
      <c r="L50" s="156"/>
      <c r="M50" s="125"/>
      <c r="N50" s="111"/>
      <c r="O50" s="156"/>
      <c r="P50" s="125"/>
      <c r="Q50" s="111"/>
      <c r="R50" s="429"/>
      <c r="S50" s="426"/>
      <c r="T50" s="427"/>
      <c r="U50" s="623"/>
    </row>
    <row r="51" spans="1:23" x14ac:dyDescent="0.25">
      <c r="A51" s="379"/>
      <c r="B51" s="287" t="s">
        <v>12</v>
      </c>
      <c r="C51" s="373" t="str">
        <f>'for Dist.'!I9</f>
        <v>save 2,520</v>
      </c>
      <c r="D51" s="258"/>
      <c r="E51" s="259"/>
      <c r="F51" s="260"/>
      <c r="G51" s="273"/>
      <c r="H51" s="259"/>
      <c r="I51" s="273"/>
      <c r="J51" s="274"/>
      <c r="L51" s="118"/>
      <c r="M51" s="125"/>
      <c r="N51" s="111"/>
      <c r="O51" s="118"/>
      <c r="P51" s="125"/>
      <c r="Q51" s="111"/>
      <c r="R51" s="429"/>
      <c r="S51" s="426"/>
      <c r="T51" s="427"/>
      <c r="U51" s="623"/>
    </row>
    <row r="52" spans="1:23" x14ac:dyDescent="0.25">
      <c r="A52" s="379"/>
      <c r="B52" s="619" t="s">
        <v>190</v>
      </c>
      <c r="C52" s="373"/>
      <c r="D52" s="260"/>
      <c r="E52" s="259"/>
      <c r="F52" s="260"/>
      <c r="G52" s="273"/>
      <c r="H52" s="259"/>
      <c r="I52" s="273"/>
      <c r="J52" s="274"/>
      <c r="L52" s="118"/>
      <c r="M52" s="125"/>
      <c r="N52" s="111"/>
      <c r="O52" s="118"/>
      <c r="P52" s="125"/>
      <c r="Q52" s="111"/>
      <c r="R52" s="429"/>
      <c r="S52" s="426"/>
      <c r="T52" s="427"/>
      <c r="U52" s="623"/>
    </row>
    <row r="53" spans="1:23" x14ac:dyDescent="0.25">
      <c r="A53" s="380"/>
      <c r="B53" s="287" t="s">
        <v>54</v>
      </c>
      <c r="C53" s="374"/>
      <c r="D53" s="260"/>
      <c r="E53" s="259"/>
      <c r="F53" s="260"/>
      <c r="G53" s="273"/>
      <c r="H53" s="259"/>
      <c r="I53" s="273"/>
      <c r="J53" s="274"/>
      <c r="L53" s="119"/>
      <c r="M53" s="126"/>
      <c r="N53" s="114"/>
      <c r="O53" s="119"/>
      <c r="P53" s="126"/>
      <c r="Q53" s="114"/>
      <c r="R53" s="430"/>
      <c r="S53" s="431"/>
      <c r="T53" s="432"/>
      <c r="U53" s="624"/>
    </row>
    <row r="54" spans="1:23" x14ac:dyDescent="0.25">
      <c r="A54" s="381"/>
      <c r="B54" s="645" t="s">
        <v>201</v>
      </c>
      <c r="C54" s="375">
        <f>'for Dist.'!I11</f>
        <v>4530</v>
      </c>
      <c r="D54" s="256">
        <f>C54*D47</f>
        <v>679.5</v>
      </c>
      <c r="E54" s="257">
        <f>C54-D54</f>
        <v>3850.5</v>
      </c>
      <c r="F54" s="256">
        <f>(C66+(C68*5)-1820-C68)*F47+(C67+C69)</f>
        <v>2740</v>
      </c>
      <c r="G54" s="271">
        <f>E54*G47</f>
        <v>192.52500000000001</v>
      </c>
      <c r="H54" s="257">
        <f>E54-F54-G54</f>
        <v>917.97500000000002</v>
      </c>
      <c r="I54" s="271">
        <f>(C66+(C68*5)-1820-C68)*I47</f>
        <v>179</v>
      </c>
      <c r="J54" s="272">
        <f>H54-I54</f>
        <v>738.97500000000002</v>
      </c>
      <c r="L54" s="118">
        <f>L47*0.3</f>
        <v>150</v>
      </c>
      <c r="M54" s="124">
        <f>D54*L54</f>
        <v>101925</v>
      </c>
      <c r="N54" s="113">
        <f>C54*L54</f>
        <v>679500</v>
      </c>
      <c r="O54" s="118">
        <f>L54</f>
        <v>150</v>
      </c>
      <c r="P54" s="124">
        <f>F54*O54</f>
        <v>411000</v>
      </c>
      <c r="Q54" s="113">
        <f>E54*O54</f>
        <v>577575</v>
      </c>
      <c r="R54" s="429">
        <f>L54</f>
        <v>150</v>
      </c>
      <c r="S54" s="422">
        <f>I54*R54</f>
        <v>26850</v>
      </c>
      <c r="T54" s="423">
        <f>G54*R54</f>
        <v>28878.75</v>
      </c>
      <c r="U54" s="447">
        <f>H54*R54</f>
        <v>137696.25</v>
      </c>
      <c r="V54" s="616" t="s">
        <v>95</v>
      </c>
    </row>
    <row r="55" spans="1:23" x14ac:dyDescent="0.25">
      <c r="A55" s="379"/>
      <c r="B55" s="648" t="s">
        <v>166</v>
      </c>
      <c r="C55" s="373" t="str">
        <f>'for Dist.'!I12</f>
        <v>Valued at 6,850</v>
      </c>
      <c r="D55" s="258"/>
      <c r="E55" s="259"/>
      <c r="F55" s="260"/>
      <c r="G55" s="273"/>
      <c r="H55" s="259"/>
      <c r="I55" s="273"/>
      <c r="J55" s="274"/>
      <c r="L55" s="118"/>
      <c r="M55" s="125"/>
      <c r="N55" s="111"/>
      <c r="O55" s="118"/>
      <c r="P55" s="125"/>
      <c r="Q55" s="111"/>
      <c r="R55" s="429"/>
      <c r="S55" s="426"/>
      <c r="T55" s="427"/>
      <c r="U55" s="623"/>
    </row>
    <row r="56" spans="1:23" x14ac:dyDescent="0.25">
      <c r="A56" s="380"/>
      <c r="B56" s="621" t="s">
        <v>190</v>
      </c>
      <c r="C56" s="373" t="str">
        <f>'for Dist.'!I14</f>
        <v>save 2,320</v>
      </c>
      <c r="D56" s="258"/>
      <c r="E56" s="262"/>
      <c r="F56" s="261"/>
      <c r="G56" s="275"/>
      <c r="H56" s="262"/>
      <c r="I56" s="275"/>
      <c r="J56" s="276"/>
      <c r="L56" s="118"/>
      <c r="M56" s="125"/>
      <c r="N56" s="111"/>
      <c r="O56" s="118"/>
      <c r="P56" s="125"/>
      <c r="Q56" s="111"/>
      <c r="R56" s="429"/>
      <c r="S56" s="426"/>
      <c r="T56" s="427"/>
      <c r="U56" s="623"/>
    </row>
    <row r="57" spans="1:23" x14ac:dyDescent="0.25">
      <c r="A57" s="381"/>
      <c r="B57" s="645" t="s">
        <v>203</v>
      </c>
      <c r="C57" s="375">
        <f>'for Dist.'!I15</f>
        <v>4080</v>
      </c>
      <c r="D57" s="256">
        <f>C57*D47</f>
        <v>612</v>
      </c>
      <c r="E57" s="264">
        <f>C57-D57</f>
        <v>3468</v>
      </c>
      <c r="F57" s="256">
        <f>(C66+(C68*5)-1820)*F47</f>
        <v>2040</v>
      </c>
      <c r="G57" s="271">
        <f>E57*G47</f>
        <v>173.4</v>
      </c>
      <c r="H57" s="257">
        <f>E57-F57-G57</f>
        <v>1254.5999999999999</v>
      </c>
      <c r="I57" s="277">
        <f>(C66+(C68*5)-1820)*I47</f>
        <v>204</v>
      </c>
      <c r="J57" s="272">
        <f>H57-I57</f>
        <v>1050.5999999999999</v>
      </c>
      <c r="L57" s="120">
        <f>L47*0.2</f>
        <v>100</v>
      </c>
      <c r="M57" s="124">
        <f>D57*L57</f>
        <v>61200</v>
      </c>
      <c r="N57" s="113">
        <f>C57*L57</f>
        <v>408000</v>
      </c>
      <c r="O57" s="120">
        <f>L57</f>
        <v>100</v>
      </c>
      <c r="P57" s="124">
        <f>F57*O57</f>
        <v>204000</v>
      </c>
      <c r="Q57" s="113">
        <f>E57*O57</f>
        <v>346800</v>
      </c>
      <c r="R57" s="434">
        <f>L57</f>
        <v>100</v>
      </c>
      <c r="S57" s="422">
        <f>I57*R57</f>
        <v>20400</v>
      </c>
      <c r="T57" s="423">
        <f>G57*R57</f>
        <v>17340</v>
      </c>
      <c r="U57" s="447">
        <f>H57*R57</f>
        <v>125459.99999999999</v>
      </c>
      <c r="V57" s="616" t="s">
        <v>96</v>
      </c>
    </row>
    <row r="58" spans="1:23" x14ac:dyDescent="0.25">
      <c r="A58" s="379"/>
      <c r="B58" s="648" t="s">
        <v>166</v>
      </c>
      <c r="C58" s="373" t="str">
        <f>'for Dist.'!I16</f>
        <v xml:space="preserve">Valued at 5,900 </v>
      </c>
      <c r="D58" s="260"/>
      <c r="E58" s="265"/>
      <c r="F58" s="269"/>
      <c r="G58" s="279"/>
      <c r="H58" s="265"/>
      <c r="I58" s="279"/>
      <c r="J58" s="280"/>
      <c r="L58" s="118"/>
      <c r="M58" s="174"/>
      <c r="N58" s="109"/>
      <c r="O58" s="118"/>
      <c r="P58" s="174"/>
      <c r="Q58" s="109"/>
      <c r="R58" s="429"/>
      <c r="S58" s="435"/>
      <c r="T58" s="436"/>
      <c r="U58" s="625"/>
      <c r="V58" s="147"/>
    </row>
    <row r="59" spans="1:23" ht="16.5" thickBot="1" x14ac:dyDescent="0.3">
      <c r="A59" s="382"/>
      <c r="B59" s="303"/>
      <c r="C59" s="622" t="str">
        <f>'for Dist.'!I17</f>
        <v>Discount 1,820</v>
      </c>
      <c r="D59" s="266"/>
      <c r="E59" s="267"/>
      <c r="F59" s="270"/>
      <c r="G59" s="281"/>
      <c r="H59" s="267"/>
      <c r="I59" s="281"/>
      <c r="J59" s="282"/>
      <c r="L59" s="121"/>
      <c r="M59" s="136"/>
      <c r="N59" s="112"/>
      <c r="O59" s="121"/>
      <c r="P59" s="136"/>
      <c r="Q59" s="112"/>
      <c r="R59" s="472"/>
      <c r="S59" s="476"/>
      <c r="T59" s="475"/>
      <c r="U59" s="626"/>
    </row>
    <row r="60" spans="1:23" ht="16.5" thickBot="1" x14ac:dyDescent="0.3">
      <c r="L60" s="477"/>
      <c r="M60" s="478">
        <f>SUM(M49:M59)</f>
        <v>353625</v>
      </c>
      <c r="N60" s="479">
        <f>SUM(N49:N59)</f>
        <v>2357500</v>
      </c>
      <c r="O60" s="477"/>
      <c r="P60" s="478">
        <f>SUM(P49:P59)</f>
        <v>1875000</v>
      </c>
      <c r="Q60" s="479">
        <f>SUM(Q49:Q59)</f>
        <v>2003875</v>
      </c>
      <c r="R60" s="480"/>
      <c r="S60" s="481">
        <f>SUM(S49:S59)</f>
        <v>89500</v>
      </c>
      <c r="T60" s="482">
        <f>SUM(T49:T59)</f>
        <v>100193.75</v>
      </c>
      <c r="U60" s="481">
        <f>SUM(U49:U59)</f>
        <v>28681.249999999985</v>
      </c>
    </row>
    <row r="61" spans="1:23" x14ac:dyDescent="0.25">
      <c r="B61" s="39"/>
      <c r="L61" s="123"/>
      <c r="M61" s="123"/>
      <c r="N61" s="123"/>
      <c r="O61" s="123"/>
      <c r="P61" s="123"/>
      <c r="Q61" s="123"/>
      <c r="R61" s="123"/>
      <c r="S61" s="123"/>
      <c r="T61" s="123"/>
      <c r="U61" s="123"/>
    </row>
    <row r="62" spans="1:23" x14ac:dyDescent="0.25">
      <c r="B62" s="39"/>
      <c r="L62" s="123"/>
      <c r="M62" s="157">
        <f>M60/N60</f>
        <v>0.15</v>
      </c>
      <c r="P62" s="157">
        <f>P60/Q60</f>
        <v>0.93568710623167617</v>
      </c>
      <c r="S62" s="157">
        <f>(S60+T60)/U60</f>
        <v>6.6138592285901101</v>
      </c>
      <c r="T62" s="157"/>
    </row>
    <row r="63" spans="1:23" x14ac:dyDescent="0.25">
      <c r="B63" s="39" t="s">
        <v>7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</row>
    <row r="64" spans="1:23" ht="16.5" thickBot="1" x14ac:dyDescent="0.3">
      <c r="A64" s="3"/>
      <c r="B64" s="3"/>
      <c r="C64" s="3"/>
      <c r="D64" s="42">
        <v>0.15</v>
      </c>
      <c r="E64" s="3"/>
      <c r="F64" s="42">
        <v>0.5</v>
      </c>
      <c r="G64" s="42">
        <v>0.05</v>
      </c>
      <c r="H64" s="3"/>
      <c r="I64" s="42">
        <v>0.05</v>
      </c>
      <c r="J64" s="42"/>
      <c r="N64" s="101" t="s">
        <v>77</v>
      </c>
      <c r="Q64" s="101" t="s">
        <v>102</v>
      </c>
      <c r="U64" s="101" t="s">
        <v>66</v>
      </c>
    </row>
    <row r="65" spans="1:26" s="3" customFormat="1" ht="30" x14ac:dyDescent="0.25">
      <c r="A65" s="305"/>
      <c r="B65" s="305" t="s">
        <v>6</v>
      </c>
      <c r="C65" s="306" t="s">
        <v>36</v>
      </c>
      <c r="D65" s="254" t="s">
        <v>42</v>
      </c>
      <c r="E65" s="255" t="s">
        <v>37</v>
      </c>
      <c r="F65" s="307" t="s">
        <v>42</v>
      </c>
      <c r="G65" s="307" t="s">
        <v>124</v>
      </c>
      <c r="H65" s="310" t="s">
        <v>38</v>
      </c>
      <c r="I65" s="311" t="s">
        <v>42</v>
      </c>
      <c r="J65" s="255" t="s">
        <v>39</v>
      </c>
      <c r="L65" s="115" t="s">
        <v>68</v>
      </c>
      <c r="M65" s="135" t="s">
        <v>42</v>
      </c>
      <c r="N65" s="116" t="s">
        <v>65</v>
      </c>
      <c r="O65" s="115" t="s">
        <v>68</v>
      </c>
      <c r="P65" s="135" t="s">
        <v>42</v>
      </c>
      <c r="Q65" s="116" t="s">
        <v>65</v>
      </c>
      <c r="R65" s="417" t="s">
        <v>68</v>
      </c>
      <c r="S65" s="442" t="s">
        <v>42</v>
      </c>
      <c r="T65" s="443" t="s">
        <v>103</v>
      </c>
      <c r="U65" s="444" t="s">
        <v>65</v>
      </c>
    </row>
    <row r="66" spans="1:26" s="3" customFormat="1" x14ac:dyDescent="0.25">
      <c r="A66" s="290">
        <v>1</v>
      </c>
      <c r="B66" s="645" t="s">
        <v>206</v>
      </c>
      <c r="C66" s="293">
        <v>3400</v>
      </c>
      <c r="D66" s="263">
        <f>C66*D64</f>
        <v>510</v>
      </c>
      <c r="E66" s="264">
        <f>C66-D66</f>
        <v>2890</v>
      </c>
      <c r="F66" s="394">
        <f>C66*F64</f>
        <v>1700</v>
      </c>
      <c r="G66" s="315">
        <f>H66*G64</f>
        <v>59.5</v>
      </c>
      <c r="H66" s="395">
        <f>E66-F66</f>
        <v>1190</v>
      </c>
      <c r="I66" s="314">
        <f>C66*I64</f>
        <v>170</v>
      </c>
      <c r="J66" s="278">
        <f>H66-I66-G66</f>
        <v>960.5</v>
      </c>
      <c r="L66" s="127">
        <v>0</v>
      </c>
      <c r="M66" s="124">
        <f>E66*L66</f>
        <v>0</v>
      </c>
      <c r="N66" s="113">
        <v>0</v>
      </c>
      <c r="O66" s="127">
        <v>0</v>
      </c>
      <c r="P66" s="124">
        <f>I66*O66</f>
        <v>0</v>
      </c>
      <c r="Q66" s="113">
        <v>0</v>
      </c>
      <c r="R66" s="421">
        <v>0</v>
      </c>
      <c r="S66" s="445">
        <f>I66*R66</f>
        <v>0</v>
      </c>
      <c r="T66" s="446">
        <v>0</v>
      </c>
      <c r="U66" s="447">
        <f>E66*R66</f>
        <v>0</v>
      </c>
    </row>
    <row r="67" spans="1:26" s="3" customFormat="1" x14ac:dyDescent="0.25">
      <c r="A67" s="290">
        <v>2</v>
      </c>
      <c r="B67" s="383" t="s">
        <v>0</v>
      </c>
      <c r="C67" s="384">
        <f>'for Dist.'!I24</f>
        <v>200</v>
      </c>
      <c r="D67" s="337">
        <v>0</v>
      </c>
      <c r="E67" s="338">
        <v>0</v>
      </c>
      <c r="F67" s="343">
        <v>200</v>
      </c>
      <c r="G67" s="319" t="s">
        <v>43</v>
      </c>
      <c r="H67" s="396" t="s">
        <v>43</v>
      </c>
      <c r="I67" s="317" t="s">
        <v>43</v>
      </c>
      <c r="J67" s="318" t="s">
        <v>43</v>
      </c>
      <c r="L67" s="137" t="s">
        <v>43</v>
      </c>
      <c r="M67" s="129" t="s">
        <v>43</v>
      </c>
      <c r="N67" s="148" t="s">
        <v>43</v>
      </c>
      <c r="O67" s="137">
        <f>(O54+O57)*0.5</f>
        <v>125</v>
      </c>
      <c r="P67" s="129">
        <f>F67*O67</f>
        <v>25000</v>
      </c>
      <c r="Q67" s="148">
        <f>F67*O67</f>
        <v>25000</v>
      </c>
      <c r="R67" s="448" t="s">
        <v>43</v>
      </c>
      <c r="S67" s="449" t="s">
        <v>43</v>
      </c>
      <c r="T67" s="450" t="s">
        <v>43</v>
      </c>
      <c r="U67" s="451" t="s">
        <v>43</v>
      </c>
      <c r="V67" s="147" t="s">
        <v>69</v>
      </c>
    </row>
    <row r="68" spans="1:26" s="3" customFormat="1" x14ac:dyDescent="0.25">
      <c r="A68" s="385">
        <v>3</v>
      </c>
      <c r="B68" s="618" t="s">
        <v>187</v>
      </c>
      <c r="C68" s="386">
        <f>'for Dist.'!I25</f>
        <v>500</v>
      </c>
      <c r="D68" s="639" t="s">
        <v>43</v>
      </c>
      <c r="E68" s="640" t="s">
        <v>43</v>
      </c>
      <c r="F68" s="394">
        <f>C68*F64</f>
        <v>250</v>
      </c>
      <c r="G68" s="315">
        <f>C68*G64</f>
        <v>25</v>
      </c>
      <c r="H68" s="395">
        <f>C68-F68</f>
        <v>250</v>
      </c>
      <c r="I68" s="314">
        <f>C68*I64</f>
        <v>25</v>
      </c>
      <c r="J68" s="278">
        <f>H68-I68-G68</f>
        <v>200</v>
      </c>
      <c r="L68" s="137" t="s">
        <v>43</v>
      </c>
      <c r="M68" s="129" t="s">
        <v>43</v>
      </c>
      <c r="N68" s="148" t="s">
        <v>43</v>
      </c>
      <c r="O68" s="137">
        <f>0.1*O47</f>
        <v>50</v>
      </c>
      <c r="P68" s="129">
        <f>F68*O68</f>
        <v>12500</v>
      </c>
      <c r="Q68" s="148">
        <f>C68*O68</f>
        <v>25000</v>
      </c>
      <c r="R68" s="448">
        <f>0.1*R47</f>
        <v>50</v>
      </c>
      <c r="S68" s="449">
        <f>I68*R68</f>
        <v>1250</v>
      </c>
      <c r="T68" s="450">
        <f>G68*R68</f>
        <v>1250</v>
      </c>
      <c r="U68" s="451">
        <f>H68*R68</f>
        <v>12500</v>
      </c>
      <c r="V68" s="147" t="s">
        <v>97</v>
      </c>
    </row>
    <row r="69" spans="1:26" s="3" customFormat="1" x14ac:dyDescent="0.25">
      <c r="A69" s="387">
        <v>4</v>
      </c>
      <c r="B69" s="620" t="s">
        <v>188</v>
      </c>
      <c r="C69" s="388">
        <f>'for Dist.'!I27</f>
        <v>750</v>
      </c>
      <c r="D69" s="637" t="s">
        <v>43</v>
      </c>
      <c r="E69" s="636" t="s">
        <v>43</v>
      </c>
      <c r="F69" s="343">
        <v>750</v>
      </c>
      <c r="G69" s="319" t="s">
        <v>43</v>
      </c>
      <c r="H69" s="396" t="s">
        <v>43</v>
      </c>
      <c r="I69" s="317" t="s">
        <v>43</v>
      </c>
      <c r="J69" s="318" t="s">
        <v>43</v>
      </c>
      <c r="L69" s="137" t="s">
        <v>43</v>
      </c>
      <c r="M69" s="129" t="s">
        <v>43</v>
      </c>
      <c r="N69" s="148" t="s">
        <v>43</v>
      </c>
      <c r="O69" s="137">
        <f>0.3*O57</f>
        <v>30</v>
      </c>
      <c r="P69" s="129">
        <f>F69*O69</f>
        <v>22500</v>
      </c>
      <c r="Q69" s="148">
        <f>F69*O69</f>
        <v>22500</v>
      </c>
      <c r="R69" s="448" t="s">
        <v>43</v>
      </c>
      <c r="S69" s="449" t="s">
        <v>43</v>
      </c>
      <c r="T69" s="450" t="s">
        <v>43</v>
      </c>
      <c r="U69" s="451" t="s">
        <v>43</v>
      </c>
      <c r="V69" s="147" t="s">
        <v>71</v>
      </c>
    </row>
    <row r="70" spans="1:26" s="3" customFormat="1" x14ac:dyDescent="0.25">
      <c r="A70" s="387">
        <v>5</v>
      </c>
      <c r="B70" s="389" t="s">
        <v>58</v>
      </c>
      <c r="C70" s="388">
        <v>150</v>
      </c>
      <c r="D70" s="341" t="s">
        <v>43</v>
      </c>
      <c r="E70" s="342" t="s">
        <v>43</v>
      </c>
      <c r="F70" s="341" t="s">
        <v>43</v>
      </c>
      <c r="G70" s="319" t="s">
        <v>43</v>
      </c>
      <c r="H70" s="342" t="s">
        <v>43</v>
      </c>
      <c r="I70" s="317">
        <v>150</v>
      </c>
      <c r="J70" s="318">
        <v>0</v>
      </c>
      <c r="L70" s="137" t="s">
        <v>43</v>
      </c>
      <c r="M70" s="129" t="s">
        <v>43</v>
      </c>
      <c r="N70" s="148" t="s">
        <v>43</v>
      </c>
      <c r="O70" s="137" t="s">
        <v>43</v>
      </c>
      <c r="P70" s="129" t="s">
        <v>43</v>
      </c>
      <c r="Q70" s="148" t="s">
        <v>43</v>
      </c>
      <c r="R70" s="448">
        <f>R47*0.2</f>
        <v>100</v>
      </c>
      <c r="S70" s="449">
        <f>I70*R70</f>
        <v>15000</v>
      </c>
      <c r="T70" s="450" t="s">
        <v>43</v>
      </c>
      <c r="U70" s="451">
        <f>C70*R70</f>
        <v>15000</v>
      </c>
      <c r="V70" s="147" t="s">
        <v>96</v>
      </c>
    </row>
    <row r="71" spans="1:26" s="3" customFormat="1" x14ac:dyDescent="0.25">
      <c r="A71" s="291">
        <v>6</v>
      </c>
      <c r="B71" s="385" t="s">
        <v>8</v>
      </c>
      <c r="C71" s="388">
        <f>'for Dist.'!I28</f>
        <v>280</v>
      </c>
      <c r="D71" s="637" t="s">
        <v>43</v>
      </c>
      <c r="E71" s="338">
        <v>0</v>
      </c>
      <c r="F71" s="343">
        <f>C71</f>
        <v>280</v>
      </c>
      <c r="G71" s="319" t="s">
        <v>43</v>
      </c>
      <c r="H71" s="396" t="s">
        <v>43</v>
      </c>
      <c r="I71" s="317" t="s">
        <v>43</v>
      </c>
      <c r="J71" s="318" t="s">
        <v>43</v>
      </c>
      <c r="L71" s="137" t="s">
        <v>43</v>
      </c>
      <c r="M71" s="129" t="s">
        <v>43</v>
      </c>
      <c r="N71" s="148" t="s">
        <v>43</v>
      </c>
      <c r="O71" s="140">
        <f>(O54+O57)*0.2</f>
        <v>50</v>
      </c>
      <c r="P71" s="129">
        <f>F71*O71</f>
        <v>14000</v>
      </c>
      <c r="Q71" s="148">
        <f>F71*O71</f>
        <v>14000</v>
      </c>
      <c r="R71" s="452" t="s">
        <v>43</v>
      </c>
      <c r="S71" s="453" t="s">
        <v>43</v>
      </c>
      <c r="T71" s="454" t="s">
        <v>43</v>
      </c>
      <c r="U71" s="455" t="s">
        <v>43</v>
      </c>
      <c r="V71" s="147" t="s">
        <v>70</v>
      </c>
    </row>
    <row r="72" spans="1:26" s="3" customFormat="1" x14ac:dyDescent="0.25">
      <c r="A72" s="387">
        <v>7</v>
      </c>
      <c r="B72" s="389" t="s">
        <v>26</v>
      </c>
      <c r="C72" s="390">
        <f>'for Dist.'!I29</f>
        <v>50</v>
      </c>
      <c r="D72" s="637" t="s">
        <v>43</v>
      </c>
      <c r="E72" s="338" t="s">
        <v>43</v>
      </c>
      <c r="F72" s="343">
        <f>C72</f>
        <v>50</v>
      </c>
      <c r="G72" s="319" t="s">
        <v>43</v>
      </c>
      <c r="H72" s="344" t="s">
        <v>43</v>
      </c>
      <c r="I72" s="321" t="s">
        <v>43</v>
      </c>
      <c r="J72" s="320" t="s">
        <v>43</v>
      </c>
      <c r="L72" s="137" t="s">
        <v>43</v>
      </c>
      <c r="M72" s="129" t="s">
        <v>43</v>
      </c>
      <c r="N72" s="148" t="s">
        <v>43</v>
      </c>
      <c r="O72" s="140">
        <f>(O54+O57)*0.2</f>
        <v>50</v>
      </c>
      <c r="P72" s="129">
        <f>F72*O72</f>
        <v>2500</v>
      </c>
      <c r="Q72" s="148">
        <f>F72*O72</f>
        <v>2500</v>
      </c>
      <c r="R72" s="452" t="s">
        <v>43</v>
      </c>
      <c r="S72" s="456" t="s">
        <v>43</v>
      </c>
      <c r="T72" s="457" t="s">
        <v>43</v>
      </c>
      <c r="U72" s="458" t="s">
        <v>43</v>
      </c>
      <c r="V72" s="147" t="s">
        <v>70</v>
      </c>
    </row>
    <row r="73" spans="1:26" s="3" customFormat="1" x14ac:dyDescent="0.25">
      <c r="A73" s="387">
        <v>8</v>
      </c>
      <c r="B73" s="291" t="s">
        <v>9</v>
      </c>
      <c r="C73" s="293">
        <f>'for Dist.'!I30</f>
        <v>2400</v>
      </c>
      <c r="D73" s="639" t="s">
        <v>43</v>
      </c>
      <c r="E73" s="345">
        <v>0</v>
      </c>
      <c r="F73" s="397">
        <f>C73</f>
        <v>2400</v>
      </c>
      <c r="G73" s="322" t="s">
        <v>43</v>
      </c>
      <c r="H73" s="398" t="s">
        <v>43</v>
      </c>
      <c r="I73" s="323" t="s">
        <v>43</v>
      </c>
      <c r="J73" s="324" t="s">
        <v>43</v>
      </c>
      <c r="L73" s="140" t="s">
        <v>43</v>
      </c>
      <c r="M73" s="131" t="s">
        <v>43</v>
      </c>
      <c r="N73" s="149" t="s">
        <v>43</v>
      </c>
      <c r="O73" s="140">
        <f>(O54+O57)*0.2</f>
        <v>50</v>
      </c>
      <c r="P73" s="131">
        <f>F73*O73</f>
        <v>120000</v>
      </c>
      <c r="Q73" s="149">
        <f>F73*O73</f>
        <v>120000</v>
      </c>
      <c r="R73" s="452" t="s">
        <v>43</v>
      </c>
      <c r="S73" s="459" t="s">
        <v>43</v>
      </c>
      <c r="T73" s="457" t="s">
        <v>43</v>
      </c>
      <c r="U73" s="458" t="s">
        <v>43</v>
      </c>
      <c r="V73" s="147" t="s">
        <v>70</v>
      </c>
    </row>
    <row r="74" spans="1:26" s="3" customFormat="1" x14ac:dyDescent="0.25">
      <c r="A74" s="391"/>
      <c r="B74" s="285" t="s">
        <v>31</v>
      </c>
      <c r="C74" s="289"/>
      <c r="D74" s="260"/>
      <c r="E74" s="259"/>
      <c r="F74" s="399"/>
      <c r="G74" s="325"/>
      <c r="H74" s="400"/>
      <c r="I74" s="326"/>
      <c r="J74" s="274"/>
      <c r="L74" s="110"/>
      <c r="M74" s="125"/>
      <c r="N74" s="150"/>
      <c r="O74" s="110"/>
      <c r="P74" s="125"/>
      <c r="Q74" s="150"/>
      <c r="R74" s="460"/>
      <c r="S74" s="461"/>
      <c r="T74" s="462"/>
      <c r="U74" s="427"/>
    </row>
    <row r="75" spans="1:26" s="3" customFormat="1" x14ac:dyDescent="0.25">
      <c r="A75" s="285"/>
      <c r="B75" s="285" t="s">
        <v>28</v>
      </c>
      <c r="C75" s="289"/>
      <c r="D75" s="260"/>
      <c r="E75" s="259"/>
      <c r="F75" s="399"/>
      <c r="G75" s="325"/>
      <c r="H75" s="400"/>
      <c r="I75" s="326"/>
      <c r="J75" s="274"/>
      <c r="L75" s="110"/>
      <c r="M75" s="174"/>
      <c r="N75" s="151"/>
      <c r="O75" s="110"/>
      <c r="P75" s="174"/>
      <c r="Q75" s="151"/>
      <c r="R75" s="460"/>
      <c r="S75" s="463"/>
      <c r="T75" s="464"/>
      <c r="U75" s="436"/>
    </row>
    <row r="76" spans="1:26" s="3" customFormat="1" x14ac:dyDescent="0.25">
      <c r="A76" s="285"/>
      <c r="B76" s="285" t="s">
        <v>29</v>
      </c>
      <c r="C76" s="289"/>
      <c r="D76" s="260"/>
      <c r="E76" s="259"/>
      <c r="F76" s="399"/>
      <c r="G76" s="325"/>
      <c r="H76" s="400"/>
      <c r="I76" s="326"/>
      <c r="J76" s="274"/>
      <c r="L76" s="142"/>
      <c r="M76" s="126"/>
      <c r="N76" s="152"/>
      <c r="O76" s="142"/>
      <c r="P76" s="126"/>
      <c r="Q76" s="152"/>
      <c r="R76" s="465"/>
      <c r="S76" s="466"/>
      <c r="T76" s="467"/>
      <c r="U76" s="432"/>
    </row>
    <row r="77" spans="1:26" s="3" customFormat="1" x14ac:dyDescent="0.25">
      <c r="A77" s="385">
        <v>9</v>
      </c>
      <c r="B77" s="385" t="s">
        <v>32</v>
      </c>
      <c r="C77" s="388">
        <f>'for Dist.'!I34</f>
        <v>1050</v>
      </c>
      <c r="D77" s="635" t="s">
        <v>43</v>
      </c>
      <c r="E77" s="640" t="s">
        <v>43</v>
      </c>
      <c r="F77" s="401">
        <f>C77*F64</f>
        <v>525</v>
      </c>
      <c r="G77" s="328">
        <f>C77*G64</f>
        <v>52.5</v>
      </c>
      <c r="H77" s="395">
        <f>C77-F77</f>
        <v>525</v>
      </c>
      <c r="I77" s="351">
        <f>C77*I64</f>
        <v>52.5</v>
      </c>
      <c r="J77" s="278">
        <f>H77-I77-G77</f>
        <v>420</v>
      </c>
      <c r="L77" s="173" t="s">
        <v>43</v>
      </c>
      <c r="M77" s="129" t="s">
        <v>43</v>
      </c>
      <c r="N77" s="172" t="s">
        <v>43</v>
      </c>
      <c r="O77" s="173" t="s">
        <v>43</v>
      </c>
      <c r="P77" s="129" t="s">
        <v>43</v>
      </c>
      <c r="Q77" s="172" t="s">
        <v>43</v>
      </c>
      <c r="R77" s="448" t="s">
        <v>43</v>
      </c>
      <c r="S77" s="449" t="s">
        <v>43</v>
      </c>
      <c r="T77" s="450" t="s">
        <v>43</v>
      </c>
      <c r="U77" s="451" t="s">
        <v>43</v>
      </c>
    </row>
    <row r="78" spans="1:26" s="3" customFormat="1" x14ac:dyDescent="0.25">
      <c r="A78" s="385">
        <v>10</v>
      </c>
      <c r="B78" s="385" t="s">
        <v>56</v>
      </c>
      <c r="C78" s="388">
        <f>'for Dist.'!I35</f>
        <v>100</v>
      </c>
      <c r="D78" s="635" t="s">
        <v>43</v>
      </c>
      <c r="E78" s="641" t="s">
        <v>43</v>
      </c>
      <c r="F78" s="401">
        <f>C78*F64</f>
        <v>50</v>
      </c>
      <c r="G78" s="328">
        <f>C78*G64</f>
        <v>5</v>
      </c>
      <c r="H78" s="402">
        <f>C78-F78</f>
        <v>50</v>
      </c>
      <c r="I78" s="351">
        <f>C78*I64</f>
        <v>5</v>
      </c>
      <c r="J78" s="332">
        <f>H78-I78-G78</f>
        <v>40</v>
      </c>
      <c r="L78" s="137" t="s">
        <v>43</v>
      </c>
      <c r="M78" s="129" t="s">
        <v>43</v>
      </c>
      <c r="N78" s="148" t="s">
        <v>43</v>
      </c>
      <c r="O78" s="137">
        <f>0.1*O47</f>
        <v>50</v>
      </c>
      <c r="P78" s="129">
        <f>F78*O78</f>
        <v>2500</v>
      </c>
      <c r="Q78" s="148">
        <f>C78*O78</f>
        <v>5000</v>
      </c>
      <c r="R78" s="448">
        <f>0.1*R47</f>
        <v>50</v>
      </c>
      <c r="S78" s="453">
        <f>I78*R78</f>
        <v>250</v>
      </c>
      <c r="T78" s="454">
        <f>G78*R78</f>
        <v>250</v>
      </c>
      <c r="U78" s="451">
        <f>H78*R78</f>
        <v>2500</v>
      </c>
      <c r="V78" s="147" t="s">
        <v>97</v>
      </c>
    </row>
    <row r="79" spans="1:26" s="3" customFormat="1" x14ac:dyDescent="0.25">
      <c r="A79" s="385">
        <v>11</v>
      </c>
      <c r="B79" s="385" t="s">
        <v>45</v>
      </c>
      <c r="C79" s="388">
        <v>300</v>
      </c>
      <c r="D79" s="339" t="s">
        <v>43</v>
      </c>
      <c r="E79" s="348" t="s">
        <v>43</v>
      </c>
      <c r="F79" s="401">
        <v>300</v>
      </c>
      <c r="G79" s="330" t="s">
        <v>43</v>
      </c>
      <c r="H79" s="402">
        <v>0</v>
      </c>
      <c r="I79" s="351" t="s">
        <v>43</v>
      </c>
      <c r="J79" s="332" t="s">
        <v>43</v>
      </c>
      <c r="L79" s="173" t="s">
        <v>43</v>
      </c>
      <c r="M79" s="129" t="s">
        <v>43</v>
      </c>
      <c r="N79" s="172" t="s">
        <v>43</v>
      </c>
      <c r="O79" s="137">
        <f>0.1*O47</f>
        <v>50</v>
      </c>
      <c r="P79" s="129">
        <f>F79*O79</f>
        <v>15000</v>
      </c>
      <c r="Q79" s="172">
        <f>C79*O79</f>
        <v>15000</v>
      </c>
      <c r="R79" s="448" t="s">
        <v>43</v>
      </c>
      <c r="S79" s="449" t="s">
        <v>43</v>
      </c>
      <c r="T79" s="450" t="s">
        <v>43</v>
      </c>
      <c r="U79" s="451" t="s">
        <v>43</v>
      </c>
      <c r="V79" s="147" t="s">
        <v>97</v>
      </c>
    </row>
    <row r="80" spans="1:26" s="3" customFormat="1" x14ac:dyDescent="0.25">
      <c r="A80" s="385">
        <v>12</v>
      </c>
      <c r="B80" s="392" t="s">
        <v>62</v>
      </c>
      <c r="C80" s="388">
        <v>600</v>
      </c>
      <c r="D80" s="339" t="s">
        <v>43</v>
      </c>
      <c r="E80" s="348" t="s">
        <v>43</v>
      </c>
      <c r="F80" s="401" t="s">
        <v>43</v>
      </c>
      <c r="G80" s="327">
        <v>0</v>
      </c>
      <c r="H80" s="402" t="s">
        <v>43</v>
      </c>
      <c r="I80" s="351">
        <v>600</v>
      </c>
      <c r="J80" s="332">
        <v>0</v>
      </c>
      <c r="L80" s="173" t="s">
        <v>43</v>
      </c>
      <c r="M80" s="129" t="s">
        <v>43</v>
      </c>
      <c r="N80" s="172" t="s">
        <v>43</v>
      </c>
      <c r="O80" s="173" t="s">
        <v>43</v>
      </c>
      <c r="P80" s="129" t="s">
        <v>43</v>
      </c>
      <c r="Q80" s="172" t="s">
        <v>43</v>
      </c>
      <c r="R80" s="448">
        <f>0.1*R47</f>
        <v>50</v>
      </c>
      <c r="S80" s="449">
        <f>I80*R80</f>
        <v>30000</v>
      </c>
      <c r="T80" s="450" t="s">
        <v>43</v>
      </c>
      <c r="U80" s="451">
        <f>C80*R80</f>
        <v>30000</v>
      </c>
      <c r="V80" s="147" t="s">
        <v>97</v>
      </c>
      <c r="W80" s="1"/>
      <c r="X80" s="1"/>
      <c r="Y80" s="1"/>
      <c r="Z80" s="1"/>
    </row>
    <row r="81" spans="1:21" x14ac:dyDescent="0.25">
      <c r="A81" s="385">
        <v>13</v>
      </c>
      <c r="B81" s="385" t="s">
        <v>50</v>
      </c>
      <c r="C81" s="386" t="s">
        <v>43</v>
      </c>
      <c r="D81" s="339" t="s">
        <v>43</v>
      </c>
      <c r="E81" s="348" t="s">
        <v>52</v>
      </c>
      <c r="F81" s="343" t="s">
        <v>43</v>
      </c>
      <c r="G81" s="319" t="s">
        <v>43</v>
      </c>
      <c r="H81" s="402" t="s">
        <v>53</v>
      </c>
      <c r="I81" s="317" t="s">
        <v>43</v>
      </c>
      <c r="J81" s="332" t="s">
        <v>43</v>
      </c>
      <c r="L81" s="173" t="s">
        <v>43</v>
      </c>
      <c r="M81" s="129" t="s">
        <v>43</v>
      </c>
      <c r="N81" s="172" t="s">
        <v>43</v>
      </c>
      <c r="O81" s="173" t="s">
        <v>43</v>
      </c>
      <c r="P81" s="129" t="s">
        <v>43</v>
      </c>
      <c r="Q81" s="172" t="s">
        <v>43</v>
      </c>
      <c r="R81" s="448" t="s">
        <v>43</v>
      </c>
      <c r="S81" s="449" t="s">
        <v>43</v>
      </c>
      <c r="T81" s="450" t="s">
        <v>43</v>
      </c>
      <c r="U81" s="451" t="s">
        <v>43</v>
      </c>
    </row>
    <row r="82" spans="1:21" ht="16.5" thickBot="1" x14ac:dyDescent="0.3">
      <c r="A82" s="385">
        <v>14</v>
      </c>
      <c r="B82" s="385" t="s">
        <v>51</v>
      </c>
      <c r="C82" s="393" t="s">
        <v>43</v>
      </c>
      <c r="D82" s="349" t="s">
        <v>43</v>
      </c>
      <c r="E82" s="350" t="s">
        <v>53</v>
      </c>
      <c r="F82" s="403" t="s">
        <v>43</v>
      </c>
      <c r="G82" s="334" t="s">
        <v>43</v>
      </c>
      <c r="H82" s="404" t="s">
        <v>43</v>
      </c>
      <c r="I82" s="335" t="s">
        <v>43</v>
      </c>
      <c r="J82" s="336" t="s">
        <v>43</v>
      </c>
      <c r="L82" s="143" t="s">
        <v>43</v>
      </c>
      <c r="M82" s="144" t="s">
        <v>43</v>
      </c>
      <c r="N82" s="154" t="s">
        <v>43</v>
      </c>
      <c r="O82" s="143" t="s">
        <v>43</v>
      </c>
      <c r="P82" s="144" t="s">
        <v>43</v>
      </c>
      <c r="Q82" s="154" t="s">
        <v>43</v>
      </c>
      <c r="R82" s="468" t="s">
        <v>43</v>
      </c>
      <c r="S82" s="469" t="s">
        <v>43</v>
      </c>
      <c r="T82" s="470" t="s">
        <v>43</v>
      </c>
      <c r="U82" s="471" t="s">
        <v>43</v>
      </c>
    </row>
    <row r="83" spans="1:21" ht="16.5" thickBot="1" x14ac:dyDescent="0.3">
      <c r="L83" s="483"/>
      <c r="M83" s="484">
        <f>SUM(M66:M82)</f>
        <v>0</v>
      </c>
      <c r="N83" s="485">
        <f>SUM(N66:N82)</f>
        <v>0</v>
      </c>
      <c r="O83" s="483"/>
      <c r="P83" s="484">
        <f>SUM(P66:P82)</f>
        <v>214000</v>
      </c>
      <c r="Q83" s="485">
        <f>SUM(Q66:Q82)</f>
        <v>229000</v>
      </c>
      <c r="R83" s="487"/>
      <c r="S83" s="486">
        <f>SUM(S66:S82)</f>
        <v>46500</v>
      </c>
      <c r="T83" s="486">
        <f>SUM(T66:T82)</f>
        <v>1500</v>
      </c>
      <c r="U83" s="488">
        <f>SUM(U66:U82)</f>
        <v>60000</v>
      </c>
    </row>
    <row r="85" spans="1:21" x14ac:dyDescent="0.25">
      <c r="M85" s="157" t="s">
        <v>43</v>
      </c>
      <c r="P85" s="157">
        <f>P83/Q83</f>
        <v>0.93449781659388642</v>
      </c>
      <c r="S85" s="157">
        <f>(S83+T83)/U83</f>
        <v>0.8</v>
      </c>
      <c r="T85" s="157"/>
    </row>
    <row r="88" spans="1:21" x14ac:dyDescent="0.25">
      <c r="J88" s="1" t="s">
        <v>72</v>
      </c>
      <c r="M88" s="123">
        <f>M18+M42+M60+M83</f>
        <v>721875</v>
      </c>
      <c r="N88" s="123">
        <f>N18+N42+N60+N83</f>
        <v>4812500</v>
      </c>
      <c r="P88" s="123">
        <f>P18+P42+P60+P83</f>
        <v>4243970</v>
      </c>
      <c r="Q88" s="123">
        <f>Q18+Q42+Q60+Q83</f>
        <v>4669625</v>
      </c>
      <c r="R88" s="123"/>
      <c r="S88" s="123">
        <f>S18+S42+S60+S83</f>
        <v>288000</v>
      </c>
      <c r="T88" s="123"/>
      <c r="U88" s="123">
        <f>U18+U42+U60+U83</f>
        <v>113593.74999999999</v>
      </c>
    </row>
    <row r="89" spans="1:21" x14ac:dyDescent="0.25">
      <c r="M89" s="1" t="s">
        <v>73</v>
      </c>
      <c r="P89" s="123">
        <f>P88-P38-P79</f>
        <v>4198970</v>
      </c>
      <c r="Q89" s="123">
        <f>Q88-Q38-Q79</f>
        <v>4624625</v>
      </c>
      <c r="S89" s="123">
        <f>S88-S29-S39-S70-S80</f>
        <v>168000</v>
      </c>
      <c r="T89" s="123"/>
      <c r="U89" s="123">
        <f>U88-U29-U39-U70-U80</f>
        <v>-6406.2500000000146</v>
      </c>
    </row>
    <row r="90" spans="1:21" x14ac:dyDescent="0.25">
      <c r="M90" s="1" t="s">
        <v>74</v>
      </c>
      <c r="N90" s="123"/>
      <c r="S90" s="123"/>
      <c r="T90" s="123"/>
    </row>
    <row r="91" spans="1:21" x14ac:dyDescent="0.25">
      <c r="M91" s="1" t="s">
        <v>75</v>
      </c>
      <c r="P91" s="123"/>
      <c r="U91" s="123"/>
    </row>
    <row r="93" spans="1:21" x14ac:dyDescent="0.25">
      <c r="M93" s="157">
        <f>M88/N88</f>
        <v>0.15</v>
      </c>
      <c r="P93" s="157">
        <f>P88/Q88</f>
        <v>0.90884599941108757</v>
      </c>
      <c r="S93" s="157">
        <f>S88/U88</f>
        <v>2.5353507565337003</v>
      </c>
      <c r="T93" s="157"/>
    </row>
  </sheetData>
  <pageMargins left="0.23622047244094499" right="0.15748031496063" top="0.43307086614173201" bottom="0.27559055118110198" header="0.31496062992126" footer="0.15748031496063"/>
  <pageSetup paperSize="8" scale="80" orientation="landscape" r:id="rId1"/>
  <rowBreaks count="1" manualBreakCount="1">
    <brk id="45" max="23" man="1"/>
  </rowBreaks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view="pageBreakPreview" zoomScale="90" zoomScaleNormal="20" zoomScaleSheetLayoutView="90" workbookViewId="0">
      <selection activeCell="O1" sqref="O1"/>
    </sheetView>
  </sheetViews>
  <sheetFormatPr defaultRowHeight="15.75" x14ac:dyDescent="0.25"/>
  <cols>
    <col min="1" max="1" width="4.7109375" style="1" customWidth="1"/>
    <col min="2" max="2" width="31.7109375" style="1" customWidth="1"/>
    <col min="3" max="3" width="14.7109375" style="1" bestFit="1" customWidth="1"/>
    <col min="4" max="4" width="9.7109375" style="1" customWidth="1"/>
    <col min="5" max="5" width="10.140625" style="1" customWidth="1"/>
    <col min="6" max="6" width="10" style="1" customWidth="1"/>
    <col min="7" max="7" width="10.85546875" style="1" bestFit="1" customWidth="1"/>
    <col min="8" max="8" width="12.5703125" style="1" customWidth="1"/>
    <col min="9" max="9" width="8.42578125" style="1" customWidth="1"/>
    <col min="10" max="10" width="11.85546875" style="1" bestFit="1" customWidth="1"/>
    <col min="11" max="11" width="4.42578125" style="1" customWidth="1"/>
    <col min="12" max="12" width="8.7109375" style="1" bestFit="1" customWidth="1"/>
    <col min="13" max="13" width="16.5703125" style="1" bestFit="1" customWidth="1"/>
    <col min="14" max="14" width="16.85546875" style="1" bestFit="1" customWidth="1"/>
    <col min="15" max="15" width="8.7109375" style="1" bestFit="1" customWidth="1"/>
    <col min="16" max="17" width="15.7109375" style="1" bestFit="1" customWidth="1"/>
    <col min="18" max="18" width="8.7109375" style="1" bestFit="1" customWidth="1"/>
    <col min="19" max="19" width="15.7109375" style="1" bestFit="1" customWidth="1"/>
    <col min="20" max="20" width="14.5703125" style="1" bestFit="1" customWidth="1"/>
    <col min="21" max="21" width="15.7109375" style="1" bestFit="1" customWidth="1"/>
    <col min="22" max="22" width="14.42578125" style="1" bestFit="1" customWidth="1"/>
    <col min="23" max="23" width="15.42578125" style="1" bestFit="1" customWidth="1"/>
    <col min="24" max="24" width="9.7109375" style="1" bestFit="1" customWidth="1"/>
    <col min="25" max="25" width="16.85546875" style="1" bestFit="1" customWidth="1"/>
    <col min="26" max="26" width="9.140625" style="1"/>
    <col min="27" max="27" width="10.42578125" style="1" bestFit="1" customWidth="1"/>
    <col min="28" max="28" width="31.140625" style="1" bestFit="1" customWidth="1"/>
    <col min="29" max="29" width="14.7109375" style="1" bestFit="1" customWidth="1"/>
    <col min="30" max="30" width="9.7109375" style="1" bestFit="1" customWidth="1"/>
    <col min="31" max="31" width="16.85546875" style="1" bestFit="1" customWidth="1"/>
    <col min="32" max="16384" width="9.140625" style="1"/>
  </cols>
  <sheetData>
    <row r="1" spans="1:31" x14ac:dyDescent="0.25">
      <c r="B1" s="39" t="s">
        <v>22</v>
      </c>
    </row>
    <row r="3" spans="1:31" x14ac:dyDescent="0.25">
      <c r="A3" s="11"/>
      <c r="B3" s="37" t="s">
        <v>20</v>
      </c>
      <c r="C3" s="12"/>
      <c r="D3" s="12"/>
      <c r="E3" s="11"/>
      <c r="F3" s="11"/>
      <c r="G3" s="11"/>
      <c r="H3" s="11"/>
      <c r="I3" s="11"/>
      <c r="J3" s="11"/>
      <c r="AA3" s="11"/>
      <c r="AB3" s="11"/>
      <c r="AC3" s="12"/>
      <c r="AD3" s="11"/>
      <c r="AE3" s="11"/>
    </row>
    <row r="4" spans="1:31" ht="16.5" thickBot="1" x14ac:dyDescent="0.3">
      <c r="A4" s="3"/>
      <c r="B4" s="3"/>
      <c r="C4" s="71"/>
      <c r="D4" s="72">
        <v>0.45</v>
      </c>
      <c r="E4" s="72"/>
      <c r="F4" s="72">
        <v>0.4</v>
      </c>
      <c r="G4" s="72">
        <v>0.1</v>
      </c>
      <c r="H4" s="72"/>
      <c r="I4" s="72">
        <v>0.05</v>
      </c>
      <c r="J4" s="72"/>
      <c r="L4" s="1">
        <v>37800</v>
      </c>
      <c r="N4" s="101" t="s">
        <v>77</v>
      </c>
      <c r="O4" s="1">
        <f>L4</f>
        <v>37800</v>
      </c>
      <c r="P4" s="101"/>
      <c r="Q4" s="101" t="s">
        <v>102</v>
      </c>
      <c r="R4" s="1">
        <f>L4</f>
        <v>37800</v>
      </c>
      <c r="U4" s="101" t="s">
        <v>66</v>
      </c>
      <c r="Z4" s="11"/>
      <c r="AA4" s="12"/>
      <c r="AD4" s="19"/>
      <c r="AE4" s="19"/>
    </row>
    <row r="5" spans="1:31" ht="45" x14ac:dyDescent="0.25">
      <c r="A5" s="295"/>
      <c r="B5" s="296" t="s">
        <v>6</v>
      </c>
      <c r="C5" s="297" t="s">
        <v>36</v>
      </c>
      <c r="D5" s="254" t="s">
        <v>42</v>
      </c>
      <c r="E5" s="255" t="s">
        <v>162</v>
      </c>
      <c r="F5" s="574" t="s">
        <v>42</v>
      </c>
      <c r="G5" s="574" t="s">
        <v>165</v>
      </c>
      <c r="H5" s="575" t="s">
        <v>163</v>
      </c>
      <c r="I5" s="583" t="s">
        <v>42</v>
      </c>
      <c r="J5" s="584" t="s">
        <v>164</v>
      </c>
      <c r="L5" s="115" t="s">
        <v>64</v>
      </c>
      <c r="M5" s="135" t="s">
        <v>42</v>
      </c>
      <c r="N5" s="116" t="s">
        <v>65</v>
      </c>
      <c r="O5" s="115" t="s">
        <v>64</v>
      </c>
      <c r="P5" s="135" t="s">
        <v>42</v>
      </c>
      <c r="Q5" s="116" t="s">
        <v>65</v>
      </c>
      <c r="R5" s="417" t="s">
        <v>64</v>
      </c>
      <c r="S5" s="418" t="s">
        <v>42</v>
      </c>
      <c r="T5" s="419" t="s">
        <v>103</v>
      </c>
      <c r="U5" s="420" t="s">
        <v>65</v>
      </c>
    </row>
    <row r="6" spans="1:31" s="10" customFormat="1" x14ac:dyDescent="0.25">
      <c r="A6" s="298"/>
      <c r="B6" s="283" t="s">
        <v>10</v>
      </c>
      <c r="C6" s="284">
        <f>'for Dist.'!C6</f>
        <v>2880</v>
      </c>
      <c r="D6" s="256">
        <f>(C25-1820-200)*D4+(C26+C28+C32)</f>
        <v>2811</v>
      </c>
      <c r="E6" s="257">
        <f>C6-D6</f>
        <v>69</v>
      </c>
      <c r="F6" s="576">
        <f>(C25-1820-200)*F4</f>
        <v>552</v>
      </c>
      <c r="G6" s="576">
        <f>(E6)*G4</f>
        <v>6.9</v>
      </c>
      <c r="H6" s="577">
        <f>E6-F6-G6</f>
        <v>-489.9</v>
      </c>
      <c r="I6" s="585">
        <f>(C25-1820-200)*I4</f>
        <v>69</v>
      </c>
      <c r="J6" s="586">
        <f>H6-I6</f>
        <v>-558.9</v>
      </c>
      <c r="L6" s="407">
        <f>L4*0.5</f>
        <v>18900</v>
      </c>
      <c r="M6" s="124">
        <f>D6*L6</f>
        <v>53127900</v>
      </c>
      <c r="N6" s="113">
        <f>C6*L6</f>
        <v>54432000</v>
      </c>
      <c r="O6" s="127">
        <f>L6</f>
        <v>18900</v>
      </c>
      <c r="P6" s="124">
        <f>F6*O6</f>
        <v>10432800</v>
      </c>
      <c r="Q6" s="113">
        <f>E6*O6</f>
        <v>1304100</v>
      </c>
      <c r="R6" s="421">
        <f>L6</f>
        <v>18900</v>
      </c>
      <c r="S6" s="422">
        <f>I6*R6</f>
        <v>1304100</v>
      </c>
      <c r="T6" s="423">
        <f>G6*R6</f>
        <v>130410</v>
      </c>
      <c r="U6" s="424">
        <f>H6*R6</f>
        <v>-9259110</v>
      </c>
      <c r="V6" s="616" t="s">
        <v>192</v>
      </c>
    </row>
    <row r="7" spans="1:31" x14ac:dyDescent="0.25">
      <c r="A7" s="299"/>
      <c r="B7" s="619" t="s">
        <v>166</v>
      </c>
      <c r="C7" s="286" t="str">
        <f>'for Dist.'!C7</f>
        <v>Valued at 4,900</v>
      </c>
      <c r="D7" s="258"/>
      <c r="E7" s="259"/>
      <c r="F7" s="578"/>
      <c r="G7" s="578"/>
      <c r="H7" s="579"/>
      <c r="I7" s="587"/>
      <c r="J7" s="588"/>
      <c r="L7" s="408"/>
      <c r="M7" s="125"/>
      <c r="N7" s="111"/>
      <c r="O7" s="156"/>
      <c r="P7" s="125"/>
      <c r="Q7" s="111"/>
      <c r="R7" s="425"/>
      <c r="S7" s="426"/>
      <c r="T7" s="427"/>
      <c r="U7" s="428"/>
    </row>
    <row r="8" spans="1:31" x14ac:dyDescent="0.25">
      <c r="A8" s="299"/>
      <c r="B8" s="287" t="s">
        <v>12</v>
      </c>
      <c r="C8" s="288" t="str">
        <f>'for Dist.'!C9</f>
        <v xml:space="preserve">save 1640 </v>
      </c>
      <c r="D8" s="258"/>
      <c r="E8" s="259"/>
      <c r="F8" s="578"/>
      <c r="G8" s="578"/>
      <c r="H8" s="579"/>
      <c r="I8" s="587"/>
      <c r="J8" s="588"/>
      <c r="L8" s="409"/>
      <c r="M8" s="125"/>
      <c r="N8" s="111"/>
      <c r="O8" s="118"/>
      <c r="P8" s="125"/>
      <c r="Q8" s="111"/>
      <c r="R8" s="429"/>
      <c r="S8" s="426"/>
      <c r="T8" s="427"/>
      <c r="U8" s="428"/>
    </row>
    <row r="9" spans="1:31" x14ac:dyDescent="0.25">
      <c r="A9" s="299"/>
      <c r="B9" s="287" t="s">
        <v>35</v>
      </c>
      <c r="C9" s="289"/>
      <c r="D9" s="260"/>
      <c r="E9" s="259"/>
      <c r="F9" s="578"/>
      <c r="G9" s="578"/>
      <c r="H9" s="579"/>
      <c r="I9" s="587"/>
      <c r="J9" s="588"/>
      <c r="L9" s="409"/>
      <c r="M9" s="125"/>
      <c r="N9" s="111"/>
      <c r="O9" s="118"/>
      <c r="P9" s="125"/>
      <c r="Q9" s="111"/>
      <c r="R9" s="429"/>
      <c r="S9" s="426"/>
      <c r="T9" s="427"/>
      <c r="U9" s="428"/>
    </row>
    <row r="10" spans="1:31" x14ac:dyDescent="0.25">
      <c r="A10" s="300"/>
      <c r="B10" s="287" t="s">
        <v>54</v>
      </c>
      <c r="C10" s="289"/>
      <c r="D10" s="260"/>
      <c r="E10" s="259"/>
      <c r="F10" s="578"/>
      <c r="G10" s="578"/>
      <c r="H10" s="579"/>
      <c r="I10" s="587"/>
      <c r="J10" s="588"/>
      <c r="L10" s="410"/>
      <c r="M10" s="126"/>
      <c r="N10" s="114"/>
      <c r="O10" s="119"/>
      <c r="P10" s="126"/>
      <c r="Q10" s="114"/>
      <c r="R10" s="430"/>
      <c r="S10" s="431"/>
      <c r="T10" s="432"/>
      <c r="U10" s="433"/>
    </row>
    <row r="11" spans="1:31" x14ac:dyDescent="0.25">
      <c r="A11" s="301"/>
      <c r="B11" s="292" t="s">
        <v>14</v>
      </c>
      <c r="C11" s="293">
        <f>'for Dist.'!C11</f>
        <v>2330</v>
      </c>
      <c r="D11" s="256">
        <f>(C25-1820)*D4+(C26+C28)</f>
        <v>1461</v>
      </c>
      <c r="E11" s="257">
        <f>C11-D11</f>
        <v>869</v>
      </c>
      <c r="F11" s="576">
        <f>(C25-1820)*F4</f>
        <v>632</v>
      </c>
      <c r="G11" s="576">
        <f>(E11)*G4</f>
        <v>86.9</v>
      </c>
      <c r="H11" s="577">
        <f>E11-F11-G11</f>
        <v>150.1</v>
      </c>
      <c r="I11" s="585">
        <f>(C25-1820)*I4</f>
        <v>79</v>
      </c>
      <c r="J11" s="586">
        <f>H11-I11</f>
        <v>71.099999999999994</v>
      </c>
      <c r="L11" s="409">
        <f>L4*0.3</f>
        <v>11340</v>
      </c>
      <c r="M11" s="124">
        <f>D11*L11</f>
        <v>16567740</v>
      </c>
      <c r="N11" s="113">
        <f>C11*L11</f>
        <v>26422200</v>
      </c>
      <c r="O11" s="118">
        <f>L11</f>
        <v>11340</v>
      </c>
      <c r="P11" s="124">
        <f>F11*O11</f>
        <v>7166880</v>
      </c>
      <c r="Q11" s="113">
        <f>E11*O11</f>
        <v>9854460</v>
      </c>
      <c r="R11" s="429">
        <f>O11</f>
        <v>11340</v>
      </c>
      <c r="S11" s="422">
        <f>I11*R11</f>
        <v>895860</v>
      </c>
      <c r="T11" s="423">
        <f>G11*R11</f>
        <v>985446.00000000012</v>
      </c>
      <c r="U11" s="424">
        <f>H11*R11</f>
        <v>1702134</v>
      </c>
      <c r="V11" s="616" t="s">
        <v>193</v>
      </c>
    </row>
    <row r="12" spans="1:31" x14ac:dyDescent="0.25">
      <c r="A12" s="299"/>
      <c r="B12" s="648" t="s">
        <v>166</v>
      </c>
      <c r="C12" s="286" t="str">
        <f>'for Dist.'!C12</f>
        <v>Valued at 4,150</v>
      </c>
      <c r="D12" s="258"/>
      <c r="E12" s="259"/>
      <c r="F12" s="578"/>
      <c r="G12" s="578"/>
      <c r="H12" s="579"/>
      <c r="I12" s="587"/>
      <c r="J12" s="588"/>
      <c r="L12" s="409"/>
      <c r="M12" s="125"/>
      <c r="N12" s="111"/>
      <c r="O12" s="118"/>
      <c r="P12" s="125"/>
      <c r="Q12" s="111"/>
      <c r="R12" s="429"/>
      <c r="S12" s="426"/>
      <c r="T12" s="427"/>
      <c r="U12" s="428"/>
    </row>
    <row r="13" spans="1:31" x14ac:dyDescent="0.25">
      <c r="A13" s="299"/>
      <c r="B13" s="619" t="s">
        <v>12</v>
      </c>
      <c r="C13" s="286" t="str">
        <f>'for Dist.'!C14</f>
        <v xml:space="preserve">save 1,820 </v>
      </c>
      <c r="D13" s="258"/>
      <c r="E13" s="259"/>
      <c r="F13" s="578"/>
      <c r="G13" s="578"/>
      <c r="H13" s="579"/>
      <c r="I13" s="587"/>
      <c r="J13" s="588"/>
      <c r="L13" s="409"/>
      <c r="M13" s="125"/>
      <c r="N13" s="111"/>
      <c r="O13" s="118"/>
      <c r="P13" s="125"/>
      <c r="Q13" s="111"/>
      <c r="R13" s="429"/>
      <c r="S13" s="426"/>
      <c r="T13" s="427"/>
      <c r="U13" s="428"/>
    </row>
    <row r="14" spans="1:31" x14ac:dyDescent="0.25">
      <c r="A14" s="300"/>
      <c r="B14" s="294" t="s">
        <v>35</v>
      </c>
      <c r="C14" s="288"/>
      <c r="D14" s="258"/>
      <c r="E14" s="262"/>
      <c r="F14" s="580"/>
      <c r="G14" s="580"/>
      <c r="H14" s="579"/>
      <c r="I14" s="589"/>
      <c r="J14" s="590"/>
      <c r="L14" s="409"/>
      <c r="M14" s="125"/>
      <c r="N14" s="111"/>
      <c r="O14" s="118"/>
      <c r="P14" s="125"/>
      <c r="Q14" s="111"/>
      <c r="R14" s="429"/>
      <c r="S14" s="426"/>
      <c r="T14" s="427"/>
      <c r="U14" s="428"/>
    </row>
    <row r="15" spans="1:31" x14ac:dyDescent="0.25">
      <c r="A15" s="301"/>
      <c r="B15" s="292" t="s">
        <v>23</v>
      </c>
      <c r="C15" s="293">
        <f>'for Dist.'!C15</f>
        <v>1580</v>
      </c>
      <c r="D15" s="256">
        <f>(C25-1820)*D4</f>
        <v>711</v>
      </c>
      <c r="E15" s="257">
        <f>C15-D15</f>
        <v>869</v>
      </c>
      <c r="F15" s="576">
        <f>(C25-1820)*F4</f>
        <v>632</v>
      </c>
      <c r="G15" s="576">
        <f>(E15)*G4</f>
        <v>86.9</v>
      </c>
      <c r="H15" s="577">
        <f>E15-F15-G15</f>
        <v>150.1</v>
      </c>
      <c r="I15" s="585">
        <f>(C25-1820)*I4</f>
        <v>79</v>
      </c>
      <c r="J15" s="586">
        <f>H15-I15</f>
        <v>71.099999999999994</v>
      </c>
      <c r="L15" s="411">
        <f>L4*0.2</f>
        <v>7560</v>
      </c>
      <c r="M15" s="124">
        <f>D15*L15</f>
        <v>5375160</v>
      </c>
      <c r="N15" s="113">
        <f>C15*L15</f>
        <v>11944800</v>
      </c>
      <c r="O15" s="195">
        <f>L15</f>
        <v>7560</v>
      </c>
      <c r="P15" s="124">
        <f>F15*O15</f>
        <v>4777920</v>
      </c>
      <c r="Q15" s="113">
        <f>E15*O15</f>
        <v>6569640</v>
      </c>
      <c r="R15" s="434">
        <f>O15</f>
        <v>7560</v>
      </c>
      <c r="S15" s="422">
        <f>I15*R15</f>
        <v>597240</v>
      </c>
      <c r="T15" s="423">
        <f>G15*R15</f>
        <v>656964</v>
      </c>
      <c r="U15" s="424">
        <f>H15*R15</f>
        <v>1134756</v>
      </c>
      <c r="V15" s="617" t="s">
        <v>194</v>
      </c>
      <c r="W15" s="194"/>
      <c r="X15" s="194"/>
      <c r="Y15" s="194"/>
    </row>
    <row r="16" spans="1:31" x14ac:dyDescent="0.25">
      <c r="A16" s="299"/>
      <c r="B16" s="648" t="s">
        <v>166</v>
      </c>
      <c r="C16" s="288" t="str">
        <f>'for Dist.'!C16</f>
        <v>Valued at 3,400</v>
      </c>
      <c r="D16" s="260"/>
      <c r="E16" s="265"/>
      <c r="F16" s="581"/>
      <c r="G16" s="593"/>
      <c r="H16" s="597"/>
      <c r="I16" s="595"/>
      <c r="J16" s="591"/>
      <c r="L16" s="412"/>
      <c r="M16" s="214"/>
      <c r="N16" s="215"/>
      <c r="O16" s="213"/>
      <c r="P16" s="214"/>
      <c r="Q16" s="215"/>
      <c r="R16" s="429"/>
      <c r="S16" s="435"/>
      <c r="T16" s="436"/>
      <c r="U16" s="437"/>
      <c r="V16" s="194"/>
      <c r="W16" s="194"/>
      <c r="X16" s="194"/>
      <c r="Y16" s="194"/>
    </row>
    <row r="17" spans="1:22" ht="16.5" thickBot="1" x14ac:dyDescent="0.3">
      <c r="A17" s="302"/>
      <c r="B17" s="303"/>
      <c r="C17" s="304" t="str">
        <f>'for Dist.'!C17</f>
        <v xml:space="preserve">save 1,820 </v>
      </c>
      <c r="D17" s="266"/>
      <c r="E17" s="267"/>
      <c r="F17" s="582"/>
      <c r="G17" s="594"/>
      <c r="H17" s="598"/>
      <c r="I17" s="596"/>
      <c r="J17" s="592"/>
      <c r="L17" s="412"/>
      <c r="M17" s="405"/>
      <c r="N17" s="406"/>
      <c r="O17" s="213"/>
      <c r="P17" s="405"/>
      <c r="Q17" s="406"/>
      <c r="R17" s="429"/>
      <c r="S17" s="426"/>
      <c r="T17" s="427"/>
      <c r="U17" s="428"/>
    </row>
    <row r="18" spans="1:22" ht="16.5" thickBot="1" x14ac:dyDescent="0.3">
      <c r="L18" s="413">
        <f>SUM(L6:L15)</f>
        <v>37800</v>
      </c>
      <c r="M18" s="414">
        <f>SUM(M6:M17)</f>
        <v>75070800</v>
      </c>
      <c r="N18" s="415">
        <f>SUM(N6:N17)</f>
        <v>92799000</v>
      </c>
      <c r="O18" s="416"/>
      <c r="P18" s="414">
        <f>SUM(P6:P17)</f>
        <v>22377600</v>
      </c>
      <c r="Q18" s="415">
        <f>SUM(Q6:Q17)</f>
        <v>17728200</v>
      </c>
      <c r="R18" s="438"/>
      <c r="S18" s="439">
        <f>SUM(S6:S17)</f>
        <v>2797200</v>
      </c>
      <c r="T18" s="440">
        <f>SUM(T6:T17)</f>
        <v>1772820</v>
      </c>
      <c r="U18" s="441">
        <f>SUM(U6:U17)</f>
        <v>-6422220</v>
      </c>
    </row>
    <row r="19" spans="1:22" x14ac:dyDescent="0.25"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2" x14ac:dyDescent="0.25">
      <c r="L20" s="123"/>
      <c r="M20" s="157">
        <f>M18/N18</f>
        <v>0.80896130346232176</v>
      </c>
      <c r="P20" s="157">
        <f>P18/Q18</f>
        <v>1.2622601279317698</v>
      </c>
      <c r="S20" s="157">
        <f>(S18+T18)/U18</f>
        <v>-0.7115950559152443</v>
      </c>
      <c r="T20" s="157"/>
    </row>
    <row r="21" spans="1:22" x14ac:dyDescent="0.25"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2" x14ac:dyDescent="0.25">
      <c r="B22" s="39" t="s">
        <v>46</v>
      </c>
    </row>
    <row r="23" spans="1:22" ht="16.5" thickBot="1" x14ac:dyDescent="0.3">
      <c r="A23" s="3"/>
      <c r="B23" s="3"/>
      <c r="C23" s="3"/>
      <c r="D23" s="42">
        <v>0.45</v>
      </c>
      <c r="E23" s="3"/>
      <c r="F23" s="42">
        <v>0.4</v>
      </c>
      <c r="G23" s="42">
        <v>0.1</v>
      </c>
      <c r="H23" s="3"/>
      <c r="I23" s="42">
        <v>0.05</v>
      </c>
      <c r="J23" s="42"/>
      <c r="N23" s="101" t="s">
        <v>77</v>
      </c>
      <c r="Q23" s="101" t="s">
        <v>102</v>
      </c>
      <c r="U23" s="101" t="s">
        <v>66</v>
      </c>
    </row>
    <row r="24" spans="1:22" s="3" customFormat="1" ht="30" x14ac:dyDescent="0.25">
      <c r="A24" s="308"/>
      <c r="B24" s="309" t="s">
        <v>6</v>
      </c>
      <c r="C24" s="310" t="s">
        <v>36</v>
      </c>
      <c r="D24" s="254" t="s">
        <v>42</v>
      </c>
      <c r="E24" s="255" t="s">
        <v>37</v>
      </c>
      <c r="F24" s="254" t="s">
        <v>42</v>
      </c>
      <c r="G24" s="312" t="s">
        <v>103</v>
      </c>
      <c r="H24" s="255" t="s">
        <v>38</v>
      </c>
      <c r="I24" s="311" t="s">
        <v>42</v>
      </c>
      <c r="J24" s="311" t="s">
        <v>39</v>
      </c>
      <c r="L24" s="115" t="s">
        <v>68</v>
      </c>
      <c r="M24" s="135" t="s">
        <v>42</v>
      </c>
      <c r="N24" s="116" t="s">
        <v>65</v>
      </c>
      <c r="O24" s="115" t="s">
        <v>68</v>
      </c>
      <c r="P24" s="135" t="s">
        <v>42</v>
      </c>
      <c r="Q24" s="116" t="s">
        <v>65</v>
      </c>
      <c r="R24" s="417" t="s">
        <v>68</v>
      </c>
      <c r="S24" s="442" t="s">
        <v>42</v>
      </c>
      <c r="T24" s="443" t="s">
        <v>103</v>
      </c>
      <c r="U24" s="444" t="s">
        <v>65</v>
      </c>
    </row>
    <row r="25" spans="1:22" s="3" customFormat="1" x14ac:dyDescent="0.25">
      <c r="A25" s="353">
        <v>1</v>
      </c>
      <c r="B25" s="645" t="s">
        <v>206</v>
      </c>
      <c r="C25" s="354">
        <v>3400</v>
      </c>
      <c r="D25" s="263">
        <f>C25*D23</f>
        <v>1530</v>
      </c>
      <c r="E25" s="264">
        <f>C25-D25</f>
        <v>1870</v>
      </c>
      <c r="F25" s="268">
        <f>C25*F23</f>
        <v>1360</v>
      </c>
      <c r="G25" s="313">
        <f>G23*E25</f>
        <v>187</v>
      </c>
      <c r="H25" s="264">
        <f>E25-F25-G25</f>
        <v>323</v>
      </c>
      <c r="I25" s="314">
        <f>C25*I23</f>
        <v>170</v>
      </c>
      <c r="J25" s="314">
        <f>H25-I25</f>
        <v>153</v>
      </c>
      <c r="L25" s="127">
        <v>0</v>
      </c>
      <c r="M25" s="124">
        <f>E25*L25</f>
        <v>0</v>
      </c>
      <c r="N25" s="113">
        <v>0</v>
      </c>
      <c r="O25" s="127">
        <v>0</v>
      </c>
      <c r="P25" s="124">
        <f>I25*O25</f>
        <v>0</v>
      </c>
      <c r="Q25" s="113">
        <v>0</v>
      </c>
      <c r="R25" s="421">
        <v>0</v>
      </c>
      <c r="S25" s="445">
        <f>I25*R25</f>
        <v>0</v>
      </c>
      <c r="T25" s="446">
        <v>0</v>
      </c>
      <c r="U25" s="447">
        <f>E25*R25</f>
        <v>0</v>
      </c>
    </row>
    <row r="26" spans="1:22" s="3" customFormat="1" x14ac:dyDescent="0.25">
      <c r="A26" s="353">
        <v>2</v>
      </c>
      <c r="B26" s="355" t="s">
        <v>0</v>
      </c>
      <c r="C26" s="356">
        <f>'for Dist.'!C24</f>
        <v>200</v>
      </c>
      <c r="D26" s="337">
        <v>200</v>
      </c>
      <c r="E26" s="338">
        <v>0</v>
      </c>
      <c r="F26" s="339" t="s">
        <v>43</v>
      </c>
      <c r="G26" s="316"/>
      <c r="H26" s="338" t="s">
        <v>43</v>
      </c>
      <c r="I26" s="317" t="s">
        <v>43</v>
      </c>
      <c r="J26" s="317" t="s">
        <v>43</v>
      </c>
      <c r="L26" s="137">
        <f>(L11+L15)*0.5</f>
        <v>9450</v>
      </c>
      <c r="M26" s="129">
        <f>D26*L26</f>
        <v>1890000</v>
      </c>
      <c r="N26" s="148">
        <f>C26*L26</f>
        <v>1890000</v>
      </c>
      <c r="O26" s="137" t="s">
        <v>43</v>
      </c>
      <c r="P26" s="129" t="s">
        <v>43</v>
      </c>
      <c r="Q26" s="148" t="s">
        <v>43</v>
      </c>
      <c r="R26" s="448" t="s">
        <v>43</v>
      </c>
      <c r="S26" s="449" t="s">
        <v>43</v>
      </c>
      <c r="T26" s="450" t="s">
        <v>43</v>
      </c>
      <c r="U26" s="451" t="s">
        <v>43</v>
      </c>
      <c r="V26" s="147" t="s">
        <v>69</v>
      </c>
    </row>
    <row r="27" spans="1:22" s="3" customFormat="1" x14ac:dyDescent="0.25">
      <c r="A27" s="357">
        <v>3</v>
      </c>
      <c r="B27" s="618" t="s">
        <v>187</v>
      </c>
      <c r="C27" s="358">
        <f>'for Dist.'!C25</f>
        <v>500</v>
      </c>
      <c r="D27" s="263">
        <f>C27*D23</f>
        <v>225</v>
      </c>
      <c r="E27" s="264">
        <f>C27-D27</f>
        <v>275</v>
      </c>
      <c r="F27" s="268">
        <f>C27*F23</f>
        <v>200</v>
      </c>
      <c r="G27" s="313">
        <f>I27*G23</f>
        <v>2.5</v>
      </c>
      <c r="H27" s="264">
        <f>E27-F27</f>
        <v>75</v>
      </c>
      <c r="I27" s="314">
        <f>C27*I23</f>
        <v>25</v>
      </c>
      <c r="J27" s="314">
        <f>H27-I27</f>
        <v>50</v>
      </c>
      <c r="L27" s="137">
        <f>0.1*L4</f>
        <v>3780</v>
      </c>
      <c r="M27" s="129">
        <f>D27*L27</f>
        <v>850500</v>
      </c>
      <c r="N27" s="148">
        <f>C27*L27</f>
        <v>1890000</v>
      </c>
      <c r="O27" s="137">
        <f>0.1*O4</f>
        <v>3780</v>
      </c>
      <c r="P27" s="129">
        <f>F27*L27</f>
        <v>756000</v>
      </c>
      <c r="Q27" s="148">
        <f>E27*O27</f>
        <v>1039500</v>
      </c>
      <c r="R27" s="448">
        <f>0.1*R4</f>
        <v>3780</v>
      </c>
      <c r="S27" s="449">
        <f>I27*R27</f>
        <v>94500</v>
      </c>
      <c r="T27" s="450">
        <f>G27*R27</f>
        <v>9450</v>
      </c>
      <c r="U27" s="451">
        <f>H27*R27</f>
        <v>283500</v>
      </c>
      <c r="V27" s="616" t="s">
        <v>195</v>
      </c>
    </row>
    <row r="28" spans="1:22" s="3" customFormat="1" x14ac:dyDescent="0.25">
      <c r="A28" s="359">
        <v>4</v>
      </c>
      <c r="B28" s="620" t="s">
        <v>189</v>
      </c>
      <c r="C28" s="361">
        <f>'for Dist.'!C27</f>
        <v>550</v>
      </c>
      <c r="D28" s="340">
        <v>350</v>
      </c>
      <c r="E28" s="338">
        <v>0</v>
      </c>
      <c r="F28" s="339" t="s">
        <v>43</v>
      </c>
      <c r="G28" s="319" t="s">
        <v>43</v>
      </c>
      <c r="H28" s="338" t="s">
        <v>43</v>
      </c>
      <c r="I28" s="317" t="s">
        <v>43</v>
      </c>
      <c r="J28" s="317" t="s">
        <v>43</v>
      </c>
      <c r="L28" s="137">
        <f>0.3*L15</f>
        <v>2268</v>
      </c>
      <c r="M28" s="129">
        <f>D28*L28</f>
        <v>793800</v>
      </c>
      <c r="N28" s="148">
        <f>C28*L28</f>
        <v>1247400</v>
      </c>
      <c r="O28" s="137" t="s">
        <v>43</v>
      </c>
      <c r="P28" s="129" t="s">
        <v>43</v>
      </c>
      <c r="Q28" s="148" t="s">
        <v>43</v>
      </c>
      <c r="R28" s="448" t="s">
        <v>43</v>
      </c>
      <c r="S28" s="449" t="s">
        <v>43</v>
      </c>
      <c r="T28" s="450" t="s">
        <v>43</v>
      </c>
      <c r="U28" s="451" t="s">
        <v>43</v>
      </c>
      <c r="V28" s="147" t="s">
        <v>71</v>
      </c>
    </row>
    <row r="29" spans="1:22" s="3" customFormat="1" x14ac:dyDescent="0.25">
      <c r="A29" s="359">
        <v>5</v>
      </c>
      <c r="B29" s="360" t="s">
        <v>58</v>
      </c>
      <c r="C29" s="361">
        <v>150</v>
      </c>
      <c r="D29" s="341" t="s">
        <v>43</v>
      </c>
      <c r="E29" s="342" t="s">
        <v>43</v>
      </c>
      <c r="F29" s="341" t="s">
        <v>43</v>
      </c>
      <c r="G29" s="319" t="s">
        <v>43</v>
      </c>
      <c r="H29" s="342" t="s">
        <v>43</v>
      </c>
      <c r="I29" s="317">
        <v>150</v>
      </c>
      <c r="J29" s="317">
        <v>0</v>
      </c>
      <c r="L29" s="137" t="s">
        <v>43</v>
      </c>
      <c r="M29" s="129" t="s">
        <v>43</v>
      </c>
      <c r="N29" s="148" t="s">
        <v>43</v>
      </c>
      <c r="O29" s="137" t="s">
        <v>43</v>
      </c>
      <c r="P29" s="129" t="s">
        <v>43</v>
      </c>
      <c r="Q29" s="148" t="s">
        <v>43</v>
      </c>
      <c r="R29" s="448">
        <f>R6*0.2</f>
        <v>3780</v>
      </c>
      <c r="S29" s="449">
        <f>I29*R29</f>
        <v>567000</v>
      </c>
      <c r="T29" s="450" t="s">
        <v>43</v>
      </c>
      <c r="U29" s="451">
        <f>C29*R29</f>
        <v>567000</v>
      </c>
      <c r="V29" s="616" t="s">
        <v>196</v>
      </c>
    </row>
    <row r="30" spans="1:22" s="3" customFormat="1" x14ac:dyDescent="0.25">
      <c r="A30" s="362">
        <v>6</v>
      </c>
      <c r="B30" s="360" t="s">
        <v>8</v>
      </c>
      <c r="C30" s="361">
        <f>'for Dist.'!C28</f>
        <v>280</v>
      </c>
      <c r="D30" s="340">
        <v>180</v>
      </c>
      <c r="E30" s="338">
        <v>0</v>
      </c>
      <c r="F30" s="339" t="s">
        <v>43</v>
      </c>
      <c r="G30" s="319" t="s">
        <v>43</v>
      </c>
      <c r="H30" s="338" t="s">
        <v>43</v>
      </c>
      <c r="I30" s="317" t="s">
        <v>43</v>
      </c>
      <c r="J30" s="317" t="s">
        <v>43</v>
      </c>
      <c r="L30" s="140">
        <f>(L11+L15)*0.2</f>
        <v>3780</v>
      </c>
      <c r="M30" s="129">
        <f>D30*L30</f>
        <v>680400</v>
      </c>
      <c r="N30" s="148">
        <f>C30*L30</f>
        <v>1058400</v>
      </c>
      <c r="O30" s="137" t="s">
        <v>43</v>
      </c>
      <c r="P30" s="129" t="s">
        <v>43</v>
      </c>
      <c r="Q30" s="148" t="s">
        <v>43</v>
      </c>
      <c r="R30" s="452" t="s">
        <v>43</v>
      </c>
      <c r="S30" s="453" t="s">
        <v>43</v>
      </c>
      <c r="T30" s="454" t="s">
        <v>43</v>
      </c>
      <c r="U30" s="455" t="s">
        <v>43</v>
      </c>
      <c r="V30" s="147" t="s">
        <v>70</v>
      </c>
    </row>
    <row r="31" spans="1:22" s="3" customFormat="1" x14ac:dyDescent="0.25">
      <c r="A31" s="359">
        <v>7</v>
      </c>
      <c r="B31" s="360" t="s">
        <v>26</v>
      </c>
      <c r="C31" s="363">
        <f>'for Dist.'!C29</f>
        <v>50</v>
      </c>
      <c r="D31" s="339">
        <v>50</v>
      </c>
      <c r="E31" s="338" t="s">
        <v>43</v>
      </c>
      <c r="F31" s="343" t="s">
        <v>43</v>
      </c>
      <c r="G31" s="319" t="s">
        <v>43</v>
      </c>
      <c r="H31" s="344" t="s">
        <v>43</v>
      </c>
      <c r="I31" s="321" t="s">
        <v>43</v>
      </c>
      <c r="J31" s="321" t="s">
        <v>43</v>
      </c>
      <c r="L31" s="140">
        <f>(L11+L15)*0.2</f>
        <v>3780</v>
      </c>
      <c r="M31" s="129">
        <f>D31*L31</f>
        <v>189000</v>
      </c>
      <c r="N31" s="148">
        <f>C31*L31</f>
        <v>189000</v>
      </c>
      <c r="O31" s="137" t="s">
        <v>43</v>
      </c>
      <c r="P31" s="129" t="s">
        <v>43</v>
      </c>
      <c r="Q31" s="148" t="s">
        <v>43</v>
      </c>
      <c r="R31" s="452" t="s">
        <v>43</v>
      </c>
      <c r="S31" s="456" t="s">
        <v>43</v>
      </c>
      <c r="T31" s="457" t="s">
        <v>43</v>
      </c>
      <c r="U31" s="458" t="s">
        <v>43</v>
      </c>
      <c r="V31" s="147" t="s">
        <v>70</v>
      </c>
    </row>
    <row r="32" spans="1:22" s="3" customFormat="1" x14ac:dyDescent="0.25">
      <c r="A32" s="359">
        <v>8</v>
      </c>
      <c r="B32" s="364" t="s">
        <v>9</v>
      </c>
      <c r="C32" s="354">
        <f>'for Dist.'!C30</f>
        <v>1440</v>
      </c>
      <c r="D32" s="263">
        <v>450</v>
      </c>
      <c r="E32" s="345">
        <v>0</v>
      </c>
      <c r="F32" s="346" t="s">
        <v>43</v>
      </c>
      <c r="G32" s="322" t="s">
        <v>43</v>
      </c>
      <c r="H32" s="347" t="s">
        <v>43</v>
      </c>
      <c r="I32" s="323" t="s">
        <v>43</v>
      </c>
      <c r="J32" s="323" t="s">
        <v>43</v>
      </c>
      <c r="L32" s="140">
        <f>(L11+L15)*0.2</f>
        <v>3780</v>
      </c>
      <c r="M32" s="131">
        <f>D32*L32</f>
        <v>1701000</v>
      </c>
      <c r="N32" s="149">
        <f>C32*L32</f>
        <v>5443200</v>
      </c>
      <c r="O32" s="140" t="s">
        <v>43</v>
      </c>
      <c r="P32" s="131" t="s">
        <v>43</v>
      </c>
      <c r="Q32" s="149" t="s">
        <v>43</v>
      </c>
      <c r="R32" s="452" t="s">
        <v>43</v>
      </c>
      <c r="S32" s="459" t="s">
        <v>43</v>
      </c>
      <c r="T32" s="457" t="s">
        <v>43</v>
      </c>
      <c r="U32" s="458" t="s">
        <v>43</v>
      </c>
      <c r="V32" s="147" t="s">
        <v>70</v>
      </c>
    </row>
    <row r="33" spans="1:28" s="3" customFormat="1" x14ac:dyDescent="0.25">
      <c r="A33" s="365"/>
      <c r="B33" s="366" t="s">
        <v>31</v>
      </c>
      <c r="C33" s="367"/>
      <c r="D33" s="260"/>
      <c r="E33" s="259"/>
      <c r="F33" s="260"/>
      <c r="G33" s="325"/>
      <c r="H33" s="259"/>
      <c r="I33" s="326"/>
      <c r="J33" s="326"/>
      <c r="L33" s="110"/>
      <c r="M33" s="125"/>
      <c r="N33" s="150"/>
      <c r="O33" s="110"/>
      <c r="P33" s="125"/>
      <c r="Q33" s="150"/>
      <c r="R33" s="460"/>
      <c r="S33" s="461"/>
      <c r="T33" s="462"/>
      <c r="U33" s="427"/>
    </row>
    <row r="34" spans="1:28" s="3" customFormat="1" x14ac:dyDescent="0.25">
      <c r="A34" s="368"/>
      <c r="B34" s="366" t="s">
        <v>27</v>
      </c>
      <c r="C34" s="367"/>
      <c r="D34" s="260"/>
      <c r="E34" s="259"/>
      <c r="F34" s="260"/>
      <c r="G34" s="325"/>
      <c r="H34" s="259"/>
      <c r="I34" s="326"/>
      <c r="J34" s="326"/>
      <c r="L34" s="110"/>
      <c r="M34" s="174"/>
      <c r="N34" s="151"/>
      <c r="O34" s="110"/>
      <c r="P34" s="174"/>
      <c r="Q34" s="151"/>
      <c r="R34" s="460"/>
      <c r="S34" s="463"/>
      <c r="T34" s="464"/>
      <c r="U34" s="436"/>
    </row>
    <row r="35" spans="1:28" s="3" customFormat="1" x14ac:dyDescent="0.25">
      <c r="A35" s="368"/>
      <c r="B35" s="366" t="s">
        <v>30</v>
      </c>
      <c r="C35" s="367"/>
      <c r="D35" s="260"/>
      <c r="E35" s="259"/>
      <c r="F35" s="260"/>
      <c r="G35" s="325"/>
      <c r="H35" s="259"/>
      <c r="I35" s="326"/>
      <c r="J35" s="326"/>
      <c r="L35" s="142"/>
      <c r="M35" s="126"/>
      <c r="N35" s="152"/>
      <c r="O35" s="142"/>
      <c r="P35" s="126"/>
      <c r="Q35" s="152"/>
      <c r="R35" s="465"/>
      <c r="S35" s="466"/>
      <c r="T35" s="467"/>
      <c r="U35" s="432"/>
    </row>
    <row r="36" spans="1:28" s="3" customFormat="1" x14ac:dyDescent="0.25">
      <c r="A36" s="357">
        <v>9</v>
      </c>
      <c r="B36" s="360" t="s">
        <v>32</v>
      </c>
      <c r="C36" s="361">
        <f>'for Dist.'!C34</f>
        <v>1050</v>
      </c>
      <c r="D36" s="340">
        <f>C36*D23</f>
        <v>472.5</v>
      </c>
      <c r="E36" s="264">
        <f>C36-D36</f>
        <v>577.5</v>
      </c>
      <c r="F36" s="340">
        <f>C36*F23</f>
        <v>420</v>
      </c>
      <c r="G36" s="327">
        <f>H36*G23</f>
        <v>15.75</v>
      </c>
      <c r="H36" s="264">
        <f>E36-F36</f>
        <v>157.5</v>
      </c>
      <c r="I36" s="351">
        <f>C36*I23</f>
        <v>52.5</v>
      </c>
      <c r="J36" s="314">
        <f>H36-I36</f>
        <v>105</v>
      </c>
      <c r="L36" s="173" t="s">
        <v>43</v>
      </c>
      <c r="M36" s="129" t="s">
        <v>43</v>
      </c>
      <c r="N36" s="172" t="s">
        <v>43</v>
      </c>
      <c r="O36" s="173" t="s">
        <v>43</v>
      </c>
      <c r="P36" s="129" t="s">
        <v>43</v>
      </c>
      <c r="Q36" s="172" t="s">
        <v>43</v>
      </c>
      <c r="R36" s="448" t="s">
        <v>43</v>
      </c>
      <c r="S36" s="449" t="s">
        <v>43</v>
      </c>
      <c r="T36" s="450" t="s">
        <v>43</v>
      </c>
      <c r="U36" s="451" t="s">
        <v>43</v>
      </c>
    </row>
    <row r="37" spans="1:28" s="3" customFormat="1" x14ac:dyDescent="0.25">
      <c r="A37" s="357">
        <v>10</v>
      </c>
      <c r="B37" s="364" t="s">
        <v>56</v>
      </c>
      <c r="C37" s="354">
        <f>'for Dist.'!C35</f>
        <v>100</v>
      </c>
      <c r="D37" s="263">
        <f>C37*D23</f>
        <v>45</v>
      </c>
      <c r="E37" s="264">
        <f>C37-D37</f>
        <v>55</v>
      </c>
      <c r="F37" s="263">
        <f>C37*F23</f>
        <v>40</v>
      </c>
      <c r="G37" s="329">
        <f>H37*G23</f>
        <v>1.5</v>
      </c>
      <c r="H37" s="264">
        <f>E37-F37</f>
        <v>15</v>
      </c>
      <c r="I37" s="352">
        <f>C37*I23</f>
        <v>5</v>
      </c>
      <c r="J37" s="314">
        <f>H37-I37</f>
        <v>10</v>
      </c>
      <c r="L37" s="137">
        <f>0.1*L4</f>
        <v>3780</v>
      </c>
      <c r="M37" s="129">
        <f>D37*L37</f>
        <v>170100</v>
      </c>
      <c r="N37" s="148">
        <f>C37*L37</f>
        <v>378000</v>
      </c>
      <c r="O37" s="137">
        <f>0.1*O4</f>
        <v>3780</v>
      </c>
      <c r="P37" s="129">
        <f>F37*L37</f>
        <v>151200</v>
      </c>
      <c r="Q37" s="148">
        <f>E37*O37</f>
        <v>207900</v>
      </c>
      <c r="R37" s="448">
        <f>0.1*R4</f>
        <v>3780</v>
      </c>
      <c r="S37" s="453">
        <f>I37*R37</f>
        <v>18900</v>
      </c>
      <c r="T37" s="453">
        <f>G37*R37</f>
        <v>5670</v>
      </c>
      <c r="U37" s="451">
        <f>H37*R37</f>
        <v>56700</v>
      </c>
      <c r="V37" s="616" t="s">
        <v>195</v>
      </c>
    </row>
    <row r="38" spans="1:28" s="3" customFormat="1" x14ac:dyDescent="0.25">
      <c r="A38" s="357">
        <v>11</v>
      </c>
      <c r="B38" s="360" t="s">
        <v>45</v>
      </c>
      <c r="C38" s="361">
        <v>300</v>
      </c>
      <c r="D38" s="339" t="s">
        <v>43</v>
      </c>
      <c r="E38" s="348" t="s">
        <v>43</v>
      </c>
      <c r="F38" s="340">
        <v>300</v>
      </c>
      <c r="G38" s="330" t="s">
        <v>43</v>
      </c>
      <c r="H38" s="348">
        <v>0</v>
      </c>
      <c r="I38" s="351" t="s">
        <v>43</v>
      </c>
      <c r="J38" s="331" t="s">
        <v>43</v>
      </c>
      <c r="L38" s="173" t="s">
        <v>43</v>
      </c>
      <c r="M38" s="129" t="s">
        <v>43</v>
      </c>
      <c r="N38" s="172" t="s">
        <v>43</v>
      </c>
      <c r="O38" s="137">
        <f>0.1*O4</f>
        <v>3780</v>
      </c>
      <c r="P38" s="129">
        <f>F38*O38</f>
        <v>1134000</v>
      </c>
      <c r="Q38" s="172">
        <f>C38*O38</f>
        <v>1134000</v>
      </c>
      <c r="R38" s="448" t="s">
        <v>43</v>
      </c>
      <c r="S38" s="449" t="s">
        <v>43</v>
      </c>
      <c r="T38" s="450" t="s">
        <v>43</v>
      </c>
      <c r="U38" s="451" t="s">
        <v>43</v>
      </c>
      <c r="V38" s="616" t="s">
        <v>195</v>
      </c>
    </row>
    <row r="39" spans="1:28" s="3" customFormat="1" x14ac:dyDescent="0.25">
      <c r="A39" s="357">
        <v>12</v>
      </c>
      <c r="B39" s="364" t="s">
        <v>62</v>
      </c>
      <c r="C39" s="354">
        <v>600</v>
      </c>
      <c r="D39" s="346" t="s">
        <v>43</v>
      </c>
      <c r="E39" s="264" t="s">
        <v>43</v>
      </c>
      <c r="F39" s="263" t="s">
        <v>43</v>
      </c>
      <c r="G39" s="333" t="s">
        <v>43</v>
      </c>
      <c r="H39" s="264" t="s">
        <v>43</v>
      </c>
      <c r="I39" s="352">
        <v>600</v>
      </c>
      <c r="J39" s="314">
        <v>0</v>
      </c>
      <c r="L39" s="173" t="s">
        <v>43</v>
      </c>
      <c r="M39" s="129" t="s">
        <v>43</v>
      </c>
      <c r="N39" s="172" t="s">
        <v>43</v>
      </c>
      <c r="O39" s="173" t="s">
        <v>43</v>
      </c>
      <c r="P39" s="129" t="s">
        <v>43</v>
      </c>
      <c r="Q39" s="172" t="s">
        <v>43</v>
      </c>
      <c r="R39" s="448">
        <f>0.1*R4</f>
        <v>3780</v>
      </c>
      <c r="S39" s="449">
        <f>I39*R39</f>
        <v>2268000</v>
      </c>
      <c r="T39" s="450" t="s">
        <v>43</v>
      </c>
      <c r="U39" s="451">
        <f>C39*R39</f>
        <v>2268000</v>
      </c>
      <c r="V39" s="616" t="s">
        <v>195</v>
      </c>
      <c r="W39" s="1"/>
      <c r="X39" s="1"/>
      <c r="Y39" s="1"/>
      <c r="Z39" s="1"/>
      <c r="AA39" s="1"/>
      <c r="AB39" s="1"/>
    </row>
    <row r="40" spans="1:28" x14ac:dyDescent="0.25">
      <c r="A40" s="357">
        <v>13</v>
      </c>
      <c r="B40" s="360" t="s">
        <v>50</v>
      </c>
      <c r="C40" s="358" t="s">
        <v>43</v>
      </c>
      <c r="D40" s="339" t="s">
        <v>43</v>
      </c>
      <c r="E40" s="348" t="s">
        <v>52</v>
      </c>
      <c r="F40" s="339" t="s">
        <v>43</v>
      </c>
      <c r="G40" s="319" t="s">
        <v>43</v>
      </c>
      <c r="H40" s="348" t="s">
        <v>53</v>
      </c>
      <c r="I40" s="317" t="s">
        <v>43</v>
      </c>
      <c r="J40" s="331" t="s">
        <v>43</v>
      </c>
      <c r="L40" s="173" t="s">
        <v>43</v>
      </c>
      <c r="M40" s="129" t="s">
        <v>43</v>
      </c>
      <c r="N40" s="172" t="s">
        <v>43</v>
      </c>
      <c r="O40" s="173" t="s">
        <v>43</v>
      </c>
      <c r="P40" s="129" t="s">
        <v>43</v>
      </c>
      <c r="Q40" s="172" t="s">
        <v>43</v>
      </c>
      <c r="R40" s="448" t="s">
        <v>43</v>
      </c>
      <c r="S40" s="449" t="s">
        <v>43</v>
      </c>
      <c r="T40" s="450" t="s">
        <v>43</v>
      </c>
      <c r="U40" s="451" t="s">
        <v>43</v>
      </c>
    </row>
    <row r="41" spans="1:28" ht="16.5" thickBot="1" x14ac:dyDescent="0.3">
      <c r="A41" s="369">
        <v>14</v>
      </c>
      <c r="B41" s="370" t="s">
        <v>51</v>
      </c>
      <c r="C41" s="371" t="s">
        <v>43</v>
      </c>
      <c r="D41" s="349" t="s">
        <v>43</v>
      </c>
      <c r="E41" s="350" t="s">
        <v>53</v>
      </c>
      <c r="F41" s="349" t="s">
        <v>43</v>
      </c>
      <c r="G41" s="334" t="s">
        <v>43</v>
      </c>
      <c r="H41" s="350" t="s">
        <v>43</v>
      </c>
      <c r="I41" s="335" t="s">
        <v>43</v>
      </c>
      <c r="J41" s="335" t="s">
        <v>43</v>
      </c>
      <c r="L41" s="120" t="s">
        <v>43</v>
      </c>
      <c r="M41" s="131" t="s">
        <v>43</v>
      </c>
      <c r="N41" s="155" t="s">
        <v>43</v>
      </c>
      <c r="O41" s="120" t="s">
        <v>43</v>
      </c>
      <c r="P41" s="131" t="s">
        <v>43</v>
      </c>
      <c r="Q41" s="155" t="s">
        <v>43</v>
      </c>
      <c r="R41" s="434" t="s">
        <v>43</v>
      </c>
      <c r="S41" s="456" t="s">
        <v>43</v>
      </c>
      <c r="T41" s="457" t="s">
        <v>43</v>
      </c>
      <c r="U41" s="458" t="s">
        <v>43</v>
      </c>
    </row>
    <row r="42" spans="1:28" ht="16.5" thickBot="1" x14ac:dyDescent="0.3">
      <c r="L42" s="473"/>
      <c r="M42" s="414">
        <f>SUM(M25:M41)</f>
        <v>6274800</v>
      </c>
      <c r="N42" s="415">
        <f>SUM(N25:N41)</f>
        <v>12096000</v>
      </c>
      <c r="O42" s="473"/>
      <c r="P42" s="414">
        <f>SUM(P25:P41)</f>
        <v>2041200</v>
      </c>
      <c r="Q42" s="415">
        <f>SUM(Q25:Q41)</f>
        <v>2381400</v>
      </c>
      <c r="R42" s="438"/>
      <c r="S42" s="474">
        <f>SUM(S25:S41)</f>
        <v>2948400</v>
      </c>
      <c r="T42" s="474">
        <f>SUM(T25:T41)</f>
        <v>15120</v>
      </c>
      <c r="U42" s="439">
        <f>SUM(U25:U41)</f>
        <v>3175200</v>
      </c>
    </row>
    <row r="44" spans="1:28" x14ac:dyDescent="0.25">
      <c r="M44" s="157">
        <f>M42/N42</f>
        <v>0.51875000000000004</v>
      </c>
      <c r="P44" s="157">
        <f>P42/Q42</f>
        <v>0.8571428571428571</v>
      </c>
      <c r="S44" s="157">
        <f>(S42+T42)/U42</f>
        <v>0.93333333333333335</v>
      </c>
      <c r="T44" s="157"/>
    </row>
    <row r="46" spans="1:28" x14ac:dyDescent="0.25">
      <c r="A46" s="11"/>
      <c r="B46" s="37" t="s">
        <v>21</v>
      </c>
      <c r="C46" s="12"/>
      <c r="D46" s="12"/>
      <c r="E46" s="11"/>
      <c r="F46" s="11"/>
      <c r="G46" s="11"/>
      <c r="H46" s="11"/>
      <c r="I46" s="11"/>
    </row>
    <row r="47" spans="1:28" ht="16.5" thickBot="1" x14ac:dyDescent="0.3">
      <c r="D47" s="72">
        <v>0.45</v>
      </c>
      <c r="E47" s="72"/>
      <c r="F47" s="72">
        <v>0.4</v>
      </c>
      <c r="G47" s="72">
        <v>0.1</v>
      </c>
      <c r="H47" s="72"/>
      <c r="I47" s="72">
        <v>0.05</v>
      </c>
      <c r="J47" s="72"/>
      <c r="L47" s="1">
        <v>16200</v>
      </c>
      <c r="N47" s="101" t="s">
        <v>77</v>
      </c>
      <c r="O47" s="1">
        <f>L47</f>
        <v>16200</v>
      </c>
      <c r="Q47" s="101" t="s">
        <v>102</v>
      </c>
      <c r="R47" s="1">
        <f>L47</f>
        <v>16200</v>
      </c>
      <c r="U47" s="101" t="s">
        <v>66</v>
      </c>
    </row>
    <row r="48" spans="1:28" ht="30" x14ac:dyDescent="0.25">
      <c r="A48" s="376"/>
      <c r="B48" s="309" t="s">
        <v>6</v>
      </c>
      <c r="C48" s="377" t="s">
        <v>2</v>
      </c>
      <c r="D48" s="254" t="s">
        <v>42</v>
      </c>
      <c r="E48" s="255" t="s">
        <v>37</v>
      </c>
      <c r="F48" s="254" t="s">
        <v>42</v>
      </c>
      <c r="G48" s="254" t="s">
        <v>103</v>
      </c>
      <c r="H48" s="255" t="s">
        <v>38</v>
      </c>
      <c r="I48" s="254" t="s">
        <v>42</v>
      </c>
      <c r="J48" s="255" t="s">
        <v>39</v>
      </c>
      <c r="L48" s="115" t="s">
        <v>64</v>
      </c>
      <c r="M48" s="135" t="s">
        <v>42</v>
      </c>
      <c r="N48" s="116" t="s">
        <v>65</v>
      </c>
      <c r="O48" s="115" t="s">
        <v>64</v>
      </c>
      <c r="P48" s="135" t="s">
        <v>42</v>
      </c>
      <c r="Q48" s="116" t="s">
        <v>65</v>
      </c>
      <c r="R48" s="417" t="s">
        <v>64</v>
      </c>
      <c r="S48" s="418" t="s">
        <v>42</v>
      </c>
      <c r="T48" s="419" t="s">
        <v>103</v>
      </c>
      <c r="U48" s="444" t="s">
        <v>65</v>
      </c>
    </row>
    <row r="49" spans="1:23" x14ac:dyDescent="0.25">
      <c r="A49" s="378"/>
      <c r="B49" s="283" t="s">
        <v>10</v>
      </c>
      <c r="C49" s="372">
        <f>'for Dist.'!I6</f>
        <v>5080</v>
      </c>
      <c r="D49" s="256">
        <f>(C66+(C68*5)-1820-C68-C67)*D47+(C67+C69+C73)</f>
        <v>4871</v>
      </c>
      <c r="E49" s="257">
        <f>C49-D49</f>
        <v>209</v>
      </c>
      <c r="F49" s="256">
        <f>(C66+(C68*5)-1820-C68-C67)*F47</f>
        <v>1352</v>
      </c>
      <c r="G49" s="271">
        <f>E49*G47</f>
        <v>20.900000000000002</v>
      </c>
      <c r="H49" s="257">
        <f>E49-F49-G49</f>
        <v>-1163.9000000000001</v>
      </c>
      <c r="I49" s="271">
        <f>(C66+(C68*5)-1820-C68-C67)*I47</f>
        <v>169</v>
      </c>
      <c r="J49" s="272">
        <f>H49-I49</f>
        <v>-1332.9</v>
      </c>
      <c r="L49" s="127">
        <f>L47*0.5</f>
        <v>8100</v>
      </c>
      <c r="M49" s="124">
        <f>D49*L49</f>
        <v>39455100</v>
      </c>
      <c r="N49" s="113">
        <f>C49*L49</f>
        <v>41148000</v>
      </c>
      <c r="O49" s="127">
        <f>L49</f>
        <v>8100</v>
      </c>
      <c r="P49" s="124">
        <f>F49*O49</f>
        <v>10951200</v>
      </c>
      <c r="Q49" s="113">
        <f>E49*O49</f>
        <v>1692900</v>
      </c>
      <c r="R49" s="421">
        <f>L49</f>
        <v>8100</v>
      </c>
      <c r="S49" s="422">
        <f>I49*R49</f>
        <v>1368900</v>
      </c>
      <c r="T49" s="423">
        <f>G49*R49</f>
        <v>169290.00000000003</v>
      </c>
      <c r="U49" s="447">
        <f>H49*R49</f>
        <v>-9427590</v>
      </c>
      <c r="V49" s="616" t="s">
        <v>191</v>
      </c>
      <c r="W49" s="10"/>
    </row>
    <row r="50" spans="1:23" x14ac:dyDescent="0.25">
      <c r="A50" s="379"/>
      <c r="B50" s="648" t="s">
        <v>166</v>
      </c>
      <c r="C50" s="373" t="str">
        <f>'for Dist.'!I7</f>
        <v>Valued at 7,600</v>
      </c>
      <c r="D50" s="258"/>
      <c r="E50" s="259"/>
      <c r="F50" s="260"/>
      <c r="G50" s="273"/>
      <c r="H50" s="259"/>
      <c r="I50" s="273"/>
      <c r="J50" s="274"/>
      <c r="L50" s="156"/>
      <c r="M50" s="125"/>
      <c r="N50" s="111"/>
      <c r="O50" s="156"/>
      <c r="P50" s="125"/>
      <c r="Q50" s="111"/>
      <c r="R50" s="429"/>
      <c r="S50" s="426"/>
      <c r="T50" s="427"/>
      <c r="U50" s="623"/>
    </row>
    <row r="51" spans="1:23" x14ac:dyDescent="0.25">
      <c r="A51" s="379"/>
      <c r="B51" s="287" t="s">
        <v>12</v>
      </c>
      <c r="C51" s="373" t="str">
        <f>'for Dist.'!I9</f>
        <v>save 2,520</v>
      </c>
      <c r="D51" s="258"/>
      <c r="E51" s="259"/>
      <c r="F51" s="260"/>
      <c r="G51" s="273"/>
      <c r="H51" s="259"/>
      <c r="I51" s="273"/>
      <c r="J51" s="274"/>
      <c r="L51" s="118"/>
      <c r="M51" s="125"/>
      <c r="N51" s="111"/>
      <c r="O51" s="118"/>
      <c r="P51" s="125"/>
      <c r="Q51" s="111"/>
      <c r="R51" s="429"/>
      <c r="S51" s="426"/>
      <c r="T51" s="427"/>
      <c r="U51" s="623"/>
    </row>
    <row r="52" spans="1:23" x14ac:dyDescent="0.25">
      <c r="A52" s="379"/>
      <c r="B52" s="619" t="s">
        <v>190</v>
      </c>
      <c r="C52" s="373"/>
      <c r="D52" s="260"/>
      <c r="E52" s="259"/>
      <c r="F52" s="260"/>
      <c r="G52" s="273"/>
      <c r="H52" s="259"/>
      <c r="I52" s="273"/>
      <c r="J52" s="274"/>
      <c r="L52" s="118"/>
      <c r="M52" s="125"/>
      <c r="N52" s="111"/>
      <c r="O52" s="118"/>
      <c r="P52" s="125"/>
      <c r="Q52" s="111"/>
      <c r="R52" s="429"/>
      <c r="S52" s="426"/>
      <c r="T52" s="427"/>
      <c r="U52" s="623"/>
    </row>
    <row r="53" spans="1:23" x14ac:dyDescent="0.25">
      <c r="A53" s="380"/>
      <c r="B53" s="287" t="s">
        <v>54</v>
      </c>
      <c r="C53" s="374"/>
      <c r="D53" s="260"/>
      <c r="E53" s="259"/>
      <c r="F53" s="260"/>
      <c r="G53" s="273"/>
      <c r="H53" s="259"/>
      <c r="I53" s="273"/>
      <c r="J53" s="274"/>
      <c r="L53" s="119"/>
      <c r="M53" s="126"/>
      <c r="N53" s="114"/>
      <c r="O53" s="119"/>
      <c r="P53" s="126"/>
      <c r="Q53" s="114"/>
      <c r="R53" s="430"/>
      <c r="S53" s="431"/>
      <c r="T53" s="432"/>
      <c r="U53" s="624"/>
    </row>
    <row r="54" spans="1:23" x14ac:dyDescent="0.25">
      <c r="A54" s="381"/>
      <c r="B54" s="292" t="s">
        <v>14</v>
      </c>
      <c r="C54" s="375">
        <f>'for Dist.'!I11</f>
        <v>4530</v>
      </c>
      <c r="D54" s="256">
        <f>(C66+(C68*5)-1820-C68)*D47+(C67+C69)</f>
        <v>2561</v>
      </c>
      <c r="E54" s="257">
        <f>C54-D54</f>
        <v>1969</v>
      </c>
      <c r="F54" s="256">
        <f>(C66+(C68*5)-1820-C68)*F47</f>
        <v>1432</v>
      </c>
      <c r="G54" s="271">
        <f>E54*G47</f>
        <v>196.9</v>
      </c>
      <c r="H54" s="257">
        <f>E54-F54-G54</f>
        <v>340.1</v>
      </c>
      <c r="I54" s="271">
        <f>(C66+(C68*5)-1820-C68)*I47</f>
        <v>179</v>
      </c>
      <c r="J54" s="272">
        <f>H54-I54</f>
        <v>161.10000000000002</v>
      </c>
      <c r="L54" s="118">
        <f>L47*0.3</f>
        <v>4860</v>
      </c>
      <c r="M54" s="124">
        <f>D54*L54</f>
        <v>12446460</v>
      </c>
      <c r="N54" s="113">
        <f>C54*L54</f>
        <v>22015800</v>
      </c>
      <c r="O54" s="118">
        <f>L54</f>
        <v>4860</v>
      </c>
      <c r="P54" s="124">
        <f>F54*O54</f>
        <v>6959520</v>
      </c>
      <c r="Q54" s="113">
        <f>E54*O54</f>
        <v>9569340</v>
      </c>
      <c r="R54" s="429">
        <f>L54</f>
        <v>4860</v>
      </c>
      <c r="S54" s="422">
        <f>I54*R54</f>
        <v>869940</v>
      </c>
      <c r="T54" s="423">
        <f>G54*R54</f>
        <v>956934</v>
      </c>
      <c r="U54" s="447">
        <f>H54*R54</f>
        <v>1652886</v>
      </c>
      <c r="V54" s="616" t="s">
        <v>95</v>
      </c>
    </row>
    <row r="55" spans="1:23" x14ac:dyDescent="0.25">
      <c r="A55" s="379"/>
      <c r="B55" s="648" t="s">
        <v>166</v>
      </c>
      <c r="C55" s="373" t="str">
        <f>'for Dist.'!I12</f>
        <v>Valued at 6,850</v>
      </c>
      <c r="D55" s="258"/>
      <c r="E55" s="259"/>
      <c r="F55" s="260"/>
      <c r="G55" s="273"/>
      <c r="H55" s="259"/>
      <c r="I55" s="273"/>
      <c r="J55" s="274"/>
      <c r="L55" s="118"/>
      <c r="M55" s="125"/>
      <c r="N55" s="111"/>
      <c r="O55" s="118"/>
      <c r="P55" s="125"/>
      <c r="Q55" s="111"/>
      <c r="R55" s="429"/>
      <c r="S55" s="426"/>
      <c r="T55" s="427"/>
      <c r="U55" s="623"/>
    </row>
    <row r="56" spans="1:23" x14ac:dyDescent="0.25">
      <c r="A56" s="380"/>
      <c r="B56" s="621" t="s">
        <v>190</v>
      </c>
      <c r="C56" s="373" t="str">
        <f>'for Dist.'!I14</f>
        <v>save 2,320</v>
      </c>
      <c r="D56" s="258"/>
      <c r="E56" s="262"/>
      <c r="F56" s="261"/>
      <c r="G56" s="275"/>
      <c r="H56" s="262"/>
      <c r="I56" s="275"/>
      <c r="J56" s="276"/>
      <c r="L56" s="118"/>
      <c r="M56" s="125"/>
      <c r="N56" s="111"/>
      <c r="O56" s="118"/>
      <c r="P56" s="125"/>
      <c r="Q56" s="111"/>
      <c r="R56" s="429"/>
      <c r="S56" s="426"/>
      <c r="T56" s="427"/>
      <c r="U56" s="623"/>
    </row>
    <row r="57" spans="1:23" x14ac:dyDescent="0.25">
      <c r="A57" s="381"/>
      <c r="B57" s="292" t="s">
        <v>23</v>
      </c>
      <c r="C57" s="375">
        <f>'for Dist.'!I15</f>
        <v>4080</v>
      </c>
      <c r="D57" s="256">
        <f>(C66+(C68*5)-1820)*D47</f>
        <v>1836</v>
      </c>
      <c r="E57" s="264">
        <f>C57-D57</f>
        <v>2244</v>
      </c>
      <c r="F57" s="256">
        <f>(C66+(C68*5)-1820)*F47</f>
        <v>1632</v>
      </c>
      <c r="G57" s="271">
        <f>E57*G47</f>
        <v>224.4</v>
      </c>
      <c r="H57" s="257">
        <f>E57-F57-G57</f>
        <v>387.6</v>
      </c>
      <c r="I57" s="277">
        <f>(C66+(C68*5)-1820)*I47</f>
        <v>204</v>
      </c>
      <c r="J57" s="272">
        <f>H57-I57</f>
        <v>183.60000000000002</v>
      </c>
      <c r="L57" s="120">
        <f>L47*0.2</f>
        <v>3240</v>
      </c>
      <c r="M57" s="124">
        <f>D57*L57</f>
        <v>5948640</v>
      </c>
      <c r="N57" s="113">
        <f>C57*L57</f>
        <v>13219200</v>
      </c>
      <c r="O57" s="120">
        <f>L57</f>
        <v>3240</v>
      </c>
      <c r="P57" s="124">
        <f>F57*O57</f>
        <v>5287680</v>
      </c>
      <c r="Q57" s="113">
        <f>E57*O57</f>
        <v>7270560</v>
      </c>
      <c r="R57" s="434">
        <f>L57</f>
        <v>3240</v>
      </c>
      <c r="S57" s="422">
        <f>I57*R57</f>
        <v>660960</v>
      </c>
      <c r="T57" s="423">
        <f>G57*R57</f>
        <v>727056</v>
      </c>
      <c r="U57" s="447">
        <f>H57*R57</f>
        <v>1255824</v>
      </c>
      <c r="V57" s="616" t="s">
        <v>96</v>
      </c>
    </row>
    <row r="58" spans="1:23" x14ac:dyDescent="0.25">
      <c r="A58" s="379"/>
      <c r="B58" s="648" t="s">
        <v>166</v>
      </c>
      <c r="C58" s="373" t="str">
        <f>'for Dist.'!I16</f>
        <v xml:space="preserve">Valued at 5,900 </v>
      </c>
      <c r="D58" s="260"/>
      <c r="E58" s="265"/>
      <c r="F58" s="269"/>
      <c r="G58" s="279"/>
      <c r="H58" s="265"/>
      <c r="I58" s="279"/>
      <c r="J58" s="280"/>
      <c r="L58" s="118"/>
      <c r="M58" s="174"/>
      <c r="N58" s="109"/>
      <c r="O58" s="118"/>
      <c r="P58" s="174"/>
      <c r="Q58" s="109"/>
      <c r="R58" s="429"/>
      <c r="S58" s="435"/>
      <c r="T58" s="436"/>
      <c r="U58" s="625"/>
      <c r="V58" s="147"/>
    </row>
    <row r="59" spans="1:23" ht="16.5" thickBot="1" x14ac:dyDescent="0.3">
      <c r="A59" s="382"/>
      <c r="B59" s="303"/>
      <c r="C59" s="622" t="str">
        <f>'for Dist.'!I17</f>
        <v>Discount 1,820</v>
      </c>
      <c r="D59" s="266"/>
      <c r="E59" s="267"/>
      <c r="F59" s="270"/>
      <c r="G59" s="281"/>
      <c r="H59" s="267"/>
      <c r="I59" s="281"/>
      <c r="J59" s="282"/>
      <c r="L59" s="121"/>
      <c r="M59" s="136"/>
      <c r="N59" s="112"/>
      <c r="O59" s="121"/>
      <c r="P59" s="136"/>
      <c r="Q59" s="112"/>
      <c r="R59" s="472"/>
      <c r="S59" s="476"/>
      <c r="T59" s="475"/>
      <c r="U59" s="626"/>
    </row>
    <row r="60" spans="1:23" ht="16.5" thickBot="1" x14ac:dyDescent="0.3">
      <c r="L60" s="477"/>
      <c r="M60" s="478">
        <f>SUM(M49:M59)</f>
        <v>57850200</v>
      </c>
      <c r="N60" s="479">
        <f>SUM(N49:N59)</f>
        <v>76383000</v>
      </c>
      <c r="O60" s="477"/>
      <c r="P60" s="478">
        <f>SUM(P49:P59)</f>
        <v>23198400</v>
      </c>
      <c r="Q60" s="479">
        <f>SUM(Q49:Q59)</f>
        <v>18532800</v>
      </c>
      <c r="R60" s="480"/>
      <c r="S60" s="481">
        <f>SUM(S49:S59)</f>
        <v>2899800</v>
      </c>
      <c r="T60" s="482">
        <f>SUM(T49:T59)</f>
        <v>1853280</v>
      </c>
      <c r="U60" s="481">
        <f>SUM(U49:U59)</f>
        <v>-6518880</v>
      </c>
    </row>
    <row r="61" spans="1:23" x14ac:dyDescent="0.25">
      <c r="B61" s="39"/>
      <c r="L61" s="123"/>
      <c r="M61" s="123"/>
      <c r="N61" s="123"/>
      <c r="O61" s="123"/>
      <c r="P61" s="123"/>
      <c r="Q61" s="123"/>
      <c r="R61" s="123"/>
      <c r="S61" s="123"/>
      <c r="T61" s="123"/>
      <c r="U61" s="123"/>
    </row>
    <row r="62" spans="1:23" x14ac:dyDescent="0.25">
      <c r="B62" s="39"/>
      <c r="L62" s="123"/>
      <c r="M62" s="157">
        <f>M60/N60</f>
        <v>0.75737009544008482</v>
      </c>
      <c r="P62" s="157">
        <f>P60/Q60</f>
        <v>1.2517482517482517</v>
      </c>
      <c r="S62" s="157">
        <f>(S60+T60)/U60</f>
        <v>-0.72912524850894633</v>
      </c>
      <c r="T62" s="157"/>
    </row>
    <row r="63" spans="1:23" x14ac:dyDescent="0.25">
      <c r="B63" s="39" t="s">
        <v>7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</row>
    <row r="64" spans="1:23" ht="16.5" thickBot="1" x14ac:dyDescent="0.3">
      <c r="A64" s="3"/>
      <c r="B64" s="3"/>
      <c r="C64" s="3"/>
      <c r="D64" s="42">
        <v>0.45</v>
      </c>
      <c r="E64" s="3"/>
      <c r="F64" s="42">
        <v>0.4</v>
      </c>
      <c r="G64" s="42">
        <v>0.1</v>
      </c>
      <c r="H64" s="3"/>
      <c r="I64" s="42">
        <v>0.05</v>
      </c>
      <c r="J64" s="42"/>
      <c r="N64" s="101" t="s">
        <v>77</v>
      </c>
      <c r="Q64" s="101" t="s">
        <v>102</v>
      </c>
      <c r="U64" s="101" t="s">
        <v>66</v>
      </c>
    </row>
    <row r="65" spans="1:26" s="3" customFormat="1" ht="30" x14ac:dyDescent="0.25">
      <c r="A65" s="305"/>
      <c r="B65" s="305" t="s">
        <v>6</v>
      </c>
      <c r="C65" s="306" t="s">
        <v>36</v>
      </c>
      <c r="D65" s="254" t="s">
        <v>42</v>
      </c>
      <c r="E65" s="255" t="s">
        <v>37</v>
      </c>
      <c r="F65" s="307" t="s">
        <v>42</v>
      </c>
      <c r="G65" s="307" t="s">
        <v>124</v>
      </c>
      <c r="H65" s="310" t="s">
        <v>38</v>
      </c>
      <c r="I65" s="311" t="s">
        <v>42</v>
      </c>
      <c r="J65" s="255" t="s">
        <v>39</v>
      </c>
      <c r="L65" s="115" t="s">
        <v>68</v>
      </c>
      <c r="M65" s="135" t="s">
        <v>42</v>
      </c>
      <c r="N65" s="116" t="s">
        <v>65</v>
      </c>
      <c r="O65" s="115" t="s">
        <v>68</v>
      </c>
      <c r="P65" s="135" t="s">
        <v>42</v>
      </c>
      <c r="Q65" s="116" t="s">
        <v>65</v>
      </c>
      <c r="R65" s="417" t="s">
        <v>68</v>
      </c>
      <c r="S65" s="442" t="s">
        <v>42</v>
      </c>
      <c r="T65" s="443" t="s">
        <v>103</v>
      </c>
      <c r="U65" s="444" t="s">
        <v>65</v>
      </c>
    </row>
    <row r="66" spans="1:26" s="3" customFormat="1" x14ac:dyDescent="0.25">
      <c r="A66" s="290">
        <v>1</v>
      </c>
      <c r="B66" s="645" t="s">
        <v>206</v>
      </c>
      <c r="C66" s="293">
        <v>3400</v>
      </c>
      <c r="D66" s="263">
        <f>C66*D64</f>
        <v>1530</v>
      </c>
      <c r="E66" s="264">
        <f>C66-D66</f>
        <v>1870</v>
      </c>
      <c r="F66" s="394">
        <f>C66*F64</f>
        <v>1360</v>
      </c>
      <c r="G66" s="315">
        <f>H66*G64</f>
        <v>51</v>
      </c>
      <c r="H66" s="395">
        <f>E66-F66</f>
        <v>510</v>
      </c>
      <c r="I66" s="314">
        <f>C66*I64</f>
        <v>170</v>
      </c>
      <c r="J66" s="278">
        <f>H66-I66-G66</f>
        <v>289</v>
      </c>
      <c r="L66" s="127">
        <v>0</v>
      </c>
      <c r="M66" s="124">
        <f>E66*L66</f>
        <v>0</v>
      </c>
      <c r="N66" s="113">
        <v>0</v>
      </c>
      <c r="O66" s="127">
        <v>0</v>
      </c>
      <c r="P66" s="124">
        <f>I66*O66</f>
        <v>0</v>
      </c>
      <c r="Q66" s="113">
        <v>0</v>
      </c>
      <c r="R66" s="421">
        <v>0</v>
      </c>
      <c r="S66" s="445">
        <f>I66*R66</f>
        <v>0</v>
      </c>
      <c r="T66" s="446">
        <v>0</v>
      </c>
      <c r="U66" s="447">
        <f>E66*R66</f>
        <v>0</v>
      </c>
    </row>
    <row r="67" spans="1:26" s="3" customFormat="1" x14ac:dyDescent="0.25">
      <c r="A67" s="290">
        <v>2</v>
      </c>
      <c r="B67" s="383" t="s">
        <v>0</v>
      </c>
      <c r="C67" s="384">
        <f>'for Dist.'!I24</f>
        <v>200</v>
      </c>
      <c r="D67" s="337">
        <v>350</v>
      </c>
      <c r="E67" s="338">
        <v>0</v>
      </c>
      <c r="F67" s="343" t="s">
        <v>43</v>
      </c>
      <c r="G67" s="319" t="s">
        <v>43</v>
      </c>
      <c r="H67" s="396" t="s">
        <v>43</v>
      </c>
      <c r="I67" s="317" t="s">
        <v>43</v>
      </c>
      <c r="J67" s="318" t="s">
        <v>43</v>
      </c>
      <c r="L67" s="137">
        <f>(L54+L57)*0.5</f>
        <v>4050</v>
      </c>
      <c r="M67" s="129">
        <f>D67*L67</f>
        <v>1417500</v>
      </c>
      <c r="N67" s="148">
        <f>C67*L67</f>
        <v>810000</v>
      </c>
      <c r="O67" s="137" t="s">
        <v>43</v>
      </c>
      <c r="P67" s="129" t="s">
        <v>43</v>
      </c>
      <c r="Q67" s="148" t="s">
        <v>43</v>
      </c>
      <c r="R67" s="448" t="s">
        <v>43</v>
      </c>
      <c r="S67" s="449" t="s">
        <v>43</v>
      </c>
      <c r="T67" s="450" t="s">
        <v>43</v>
      </c>
      <c r="U67" s="451" t="s">
        <v>43</v>
      </c>
      <c r="V67" s="147" t="s">
        <v>69</v>
      </c>
    </row>
    <row r="68" spans="1:26" s="3" customFormat="1" x14ac:dyDescent="0.25">
      <c r="A68" s="385">
        <v>3</v>
      </c>
      <c r="B68" s="618" t="s">
        <v>187</v>
      </c>
      <c r="C68" s="386">
        <f>'for Dist.'!I25</f>
        <v>500</v>
      </c>
      <c r="D68" s="263">
        <f>C68*D64</f>
        <v>225</v>
      </c>
      <c r="E68" s="264">
        <f>C68-D68</f>
        <v>275</v>
      </c>
      <c r="F68" s="394">
        <f>C68*F64</f>
        <v>200</v>
      </c>
      <c r="G68" s="315">
        <f>H68*G64</f>
        <v>7.5</v>
      </c>
      <c r="H68" s="395">
        <f>E68-F68</f>
        <v>75</v>
      </c>
      <c r="I68" s="314">
        <f>C68*I64</f>
        <v>25</v>
      </c>
      <c r="J68" s="278">
        <f>H68-I68-G68</f>
        <v>42.5</v>
      </c>
      <c r="L68" s="137">
        <f>0.1*L47</f>
        <v>1620</v>
      </c>
      <c r="M68" s="129">
        <f>D68*L68</f>
        <v>364500</v>
      </c>
      <c r="N68" s="148">
        <f>C68*L68</f>
        <v>810000</v>
      </c>
      <c r="O68" s="137">
        <f>0.1*O47</f>
        <v>1620</v>
      </c>
      <c r="P68" s="129">
        <f>F68*L68</f>
        <v>324000</v>
      </c>
      <c r="Q68" s="148">
        <f>E68*O68</f>
        <v>445500</v>
      </c>
      <c r="R68" s="448">
        <f>0.1*R47</f>
        <v>1620</v>
      </c>
      <c r="S68" s="449">
        <f>I68*R68</f>
        <v>40500</v>
      </c>
      <c r="T68" s="450">
        <f>G68*R68</f>
        <v>12150</v>
      </c>
      <c r="U68" s="451">
        <f>H68*R68</f>
        <v>121500</v>
      </c>
      <c r="V68" s="147" t="s">
        <v>97</v>
      </c>
    </row>
    <row r="69" spans="1:26" s="3" customFormat="1" x14ac:dyDescent="0.25">
      <c r="A69" s="387">
        <v>4</v>
      </c>
      <c r="B69" s="620" t="s">
        <v>188</v>
      </c>
      <c r="C69" s="388">
        <f>'for Dist.'!I27</f>
        <v>750</v>
      </c>
      <c r="D69" s="340">
        <v>550</v>
      </c>
      <c r="E69" s="338">
        <v>0</v>
      </c>
      <c r="F69" s="343" t="s">
        <v>43</v>
      </c>
      <c r="G69" s="319" t="s">
        <v>43</v>
      </c>
      <c r="H69" s="396" t="s">
        <v>43</v>
      </c>
      <c r="I69" s="317" t="s">
        <v>43</v>
      </c>
      <c r="J69" s="318" t="s">
        <v>43</v>
      </c>
      <c r="L69" s="137">
        <f>0.3*L57</f>
        <v>972</v>
      </c>
      <c r="M69" s="129">
        <f>D69*L69</f>
        <v>534600</v>
      </c>
      <c r="N69" s="148">
        <f>C69*L69</f>
        <v>729000</v>
      </c>
      <c r="O69" s="137" t="s">
        <v>43</v>
      </c>
      <c r="P69" s="129" t="s">
        <v>43</v>
      </c>
      <c r="Q69" s="148" t="s">
        <v>43</v>
      </c>
      <c r="R69" s="448" t="s">
        <v>43</v>
      </c>
      <c r="S69" s="449" t="s">
        <v>43</v>
      </c>
      <c r="T69" s="450" t="s">
        <v>43</v>
      </c>
      <c r="U69" s="451" t="s">
        <v>43</v>
      </c>
      <c r="V69" s="147" t="s">
        <v>71</v>
      </c>
    </row>
    <row r="70" spans="1:26" s="3" customFormat="1" x14ac:dyDescent="0.25">
      <c r="A70" s="387">
        <v>5</v>
      </c>
      <c r="B70" s="389" t="s">
        <v>58</v>
      </c>
      <c r="C70" s="388">
        <v>150</v>
      </c>
      <c r="D70" s="341" t="s">
        <v>43</v>
      </c>
      <c r="E70" s="342" t="s">
        <v>43</v>
      </c>
      <c r="F70" s="341" t="s">
        <v>43</v>
      </c>
      <c r="G70" s="319" t="s">
        <v>43</v>
      </c>
      <c r="H70" s="342" t="s">
        <v>43</v>
      </c>
      <c r="I70" s="317">
        <v>150</v>
      </c>
      <c r="J70" s="318">
        <v>0</v>
      </c>
      <c r="L70" s="137" t="s">
        <v>43</v>
      </c>
      <c r="M70" s="129" t="s">
        <v>43</v>
      </c>
      <c r="N70" s="148" t="s">
        <v>43</v>
      </c>
      <c r="O70" s="137" t="s">
        <v>43</v>
      </c>
      <c r="P70" s="129" t="s">
        <v>43</v>
      </c>
      <c r="Q70" s="148" t="s">
        <v>43</v>
      </c>
      <c r="R70" s="448">
        <f>R47*0.2</f>
        <v>3240</v>
      </c>
      <c r="S70" s="449">
        <f>I70*R70</f>
        <v>486000</v>
      </c>
      <c r="T70" s="450" t="s">
        <v>43</v>
      </c>
      <c r="U70" s="451">
        <f>C70*R70</f>
        <v>486000</v>
      </c>
      <c r="V70" s="147" t="s">
        <v>96</v>
      </c>
    </row>
    <row r="71" spans="1:26" s="3" customFormat="1" x14ac:dyDescent="0.25">
      <c r="A71" s="291">
        <v>6</v>
      </c>
      <c r="B71" s="385" t="s">
        <v>8</v>
      </c>
      <c r="C71" s="388">
        <f>'for Dist.'!I28</f>
        <v>280</v>
      </c>
      <c r="D71" s="340">
        <v>280</v>
      </c>
      <c r="E71" s="338">
        <v>0</v>
      </c>
      <c r="F71" s="343" t="s">
        <v>43</v>
      </c>
      <c r="G71" s="319" t="s">
        <v>43</v>
      </c>
      <c r="H71" s="396" t="s">
        <v>43</v>
      </c>
      <c r="I71" s="317" t="s">
        <v>43</v>
      </c>
      <c r="J71" s="318" t="s">
        <v>43</v>
      </c>
      <c r="L71" s="140">
        <f>(L54+L57)*0.2</f>
        <v>1620</v>
      </c>
      <c r="M71" s="129">
        <f>D71*L71</f>
        <v>453600</v>
      </c>
      <c r="N71" s="148">
        <f>C71*L71</f>
        <v>453600</v>
      </c>
      <c r="O71" s="137" t="s">
        <v>43</v>
      </c>
      <c r="P71" s="129" t="s">
        <v>43</v>
      </c>
      <c r="Q71" s="148" t="s">
        <v>43</v>
      </c>
      <c r="R71" s="452" t="s">
        <v>43</v>
      </c>
      <c r="S71" s="453" t="s">
        <v>43</v>
      </c>
      <c r="T71" s="454" t="s">
        <v>43</v>
      </c>
      <c r="U71" s="455" t="s">
        <v>43</v>
      </c>
      <c r="V71" s="147" t="s">
        <v>70</v>
      </c>
    </row>
    <row r="72" spans="1:26" s="3" customFormat="1" x14ac:dyDescent="0.25">
      <c r="A72" s="387">
        <v>7</v>
      </c>
      <c r="B72" s="389" t="s">
        <v>26</v>
      </c>
      <c r="C72" s="390">
        <f>'for Dist.'!I29</f>
        <v>50</v>
      </c>
      <c r="D72" s="339">
        <v>50</v>
      </c>
      <c r="E72" s="338" t="s">
        <v>43</v>
      </c>
      <c r="F72" s="343" t="s">
        <v>43</v>
      </c>
      <c r="G72" s="319" t="s">
        <v>43</v>
      </c>
      <c r="H72" s="344" t="s">
        <v>43</v>
      </c>
      <c r="I72" s="321" t="s">
        <v>43</v>
      </c>
      <c r="J72" s="320" t="s">
        <v>43</v>
      </c>
      <c r="L72" s="140">
        <f>(L54+L57)*0.2</f>
        <v>1620</v>
      </c>
      <c r="M72" s="129">
        <f>D72*L72</f>
        <v>81000</v>
      </c>
      <c r="N72" s="148">
        <f>C72*L72</f>
        <v>81000</v>
      </c>
      <c r="O72" s="137" t="s">
        <v>43</v>
      </c>
      <c r="P72" s="129" t="s">
        <v>43</v>
      </c>
      <c r="Q72" s="148" t="s">
        <v>43</v>
      </c>
      <c r="R72" s="452" t="s">
        <v>43</v>
      </c>
      <c r="S72" s="456" t="s">
        <v>43</v>
      </c>
      <c r="T72" s="457" t="s">
        <v>43</v>
      </c>
      <c r="U72" s="458" t="s">
        <v>43</v>
      </c>
      <c r="V72" s="147" t="s">
        <v>70</v>
      </c>
    </row>
    <row r="73" spans="1:26" s="3" customFormat="1" x14ac:dyDescent="0.25">
      <c r="A73" s="387">
        <v>8</v>
      </c>
      <c r="B73" s="291" t="s">
        <v>9</v>
      </c>
      <c r="C73" s="293">
        <f>'for Dist.'!I30</f>
        <v>2400</v>
      </c>
      <c r="D73" s="263">
        <v>750</v>
      </c>
      <c r="E73" s="345">
        <v>0</v>
      </c>
      <c r="F73" s="397" t="s">
        <v>43</v>
      </c>
      <c r="G73" s="322" t="s">
        <v>43</v>
      </c>
      <c r="H73" s="398" t="s">
        <v>43</v>
      </c>
      <c r="I73" s="323" t="s">
        <v>43</v>
      </c>
      <c r="J73" s="324" t="s">
        <v>43</v>
      </c>
      <c r="L73" s="140">
        <f>(L54+L57)*0.2</f>
        <v>1620</v>
      </c>
      <c r="M73" s="131">
        <f>D73*L73</f>
        <v>1215000</v>
      </c>
      <c r="N73" s="149">
        <f>C73*L73</f>
        <v>3888000</v>
      </c>
      <c r="O73" s="140" t="s">
        <v>43</v>
      </c>
      <c r="P73" s="131" t="s">
        <v>43</v>
      </c>
      <c r="Q73" s="149" t="s">
        <v>43</v>
      </c>
      <c r="R73" s="452" t="s">
        <v>43</v>
      </c>
      <c r="S73" s="459" t="s">
        <v>43</v>
      </c>
      <c r="T73" s="457" t="s">
        <v>43</v>
      </c>
      <c r="U73" s="458" t="s">
        <v>43</v>
      </c>
      <c r="V73" s="147" t="s">
        <v>70</v>
      </c>
    </row>
    <row r="74" spans="1:26" s="3" customFormat="1" x14ac:dyDescent="0.25">
      <c r="A74" s="391"/>
      <c r="B74" s="285" t="s">
        <v>31</v>
      </c>
      <c r="C74" s="289"/>
      <c r="D74" s="260"/>
      <c r="E74" s="259"/>
      <c r="F74" s="399"/>
      <c r="G74" s="325"/>
      <c r="H74" s="400"/>
      <c r="I74" s="326"/>
      <c r="J74" s="274"/>
      <c r="L74" s="110"/>
      <c r="M74" s="125"/>
      <c r="N74" s="150"/>
      <c r="O74" s="110"/>
      <c r="P74" s="125"/>
      <c r="Q74" s="150"/>
      <c r="R74" s="460"/>
      <c r="S74" s="461"/>
      <c r="T74" s="462"/>
      <c r="U74" s="427"/>
    </row>
    <row r="75" spans="1:26" s="3" customFormat="1" x14ac:dyDescent="0.25">
      <c r="A75" s="285"/>
      <c r="B75" s="285" t="s">
        <v>28</v>
      </c>
      <c r="C75" s="289"/>
      <c r="D75" s="260"/>
      <c r="E75" s="259"/>
      <c r="F75" s="399"/>
      <c r="G75" s="325"/>
      <c r="H75" s="400"/>
      <c r="I75" s="326"/>
      <c r="J75" s="274"/>
      <c r="L75" s="110"/>
      <c r="M75" s="174"/>
      <c r="N75" s="151"/>
      <c r="O75" s="110"/>
      <c r="P75" s="174"/>
      <c r="Q75" s="151"/>
      <c r="R75" s="460"/>
      <c r="S75" s="463"/>
      <c r="T75" s="464"/>
      <c r="U75" s="436"/>
    </row>
    <row r="76" spans="1:26" s="3" customFormat="1" x14ac:dyDescent="0.25">
      <c r="A76" s="285"/>
      <c r="B76" s="285" t="s">
        <v>29</v>
      </c>
      <c r="C76" s="289"/>
      <c r="D76" s="260"/>
      <c r="E76" s="259"/>
      <c r="F76" s="399"/>
      <c r="G76" s="325"/>
      <c r="H76" s="400"/>
      <c r="I76" s="326"/>
      <c r="J76" s="274"/>
      <c r="L76" s="142"/>
      <c r="M76" s="126"/>
      <c r="N76" s="152"/>
      <c r="O76" s="142"/>
      <c r="P76" s="126"/>
      <c r="Q76" s="152"/>
      <c r="R76" s="465"/>
      <c r="S76" s="466"/>
      <c r="T76" s="467"/>
      <c r="U76" s="432"/>
    </row>
    <row r="77" spans="1:26" s="3" customFormat="1" x14ac:dyDescent="0.25">
      <c r="A77" s="385">
        <v>9</v>
      </c>
      <c r="B77" s="385" t="s">
        <v>32</v>
      </c>
      <c r="C77" s="388">
        <f>'for Dist.'!I34</f>
        <v>1050</v>
      </c>
      <c r="D77" s="340">
        <f>C77*D64</f>
        <v>472.5</v>
      </c>
      <c r="E77" s="264">
        <f>C77-D77</f>
        <v>577.5</v>
      </c>
      <c r="F77" s="401">
        <f>C77*F64</f>
        <v>420</v>
      </c>
      <c r="G77" s="328">
        <f>H77*G64</f>
        <v>15.75</v>
      </c>
      <c r="H77" s="395">
        <f>E77-F77</f>
        <v>157.5</v>
      </c>
      <c r="I77" s="351">
        <f>C77*I64</f>
        <v>52.5</v>
      </c>
      <c r="J77" s="278">
        <f>H77-I77-G77</f>
        <v>89.25</v>
      </c>
      <c r="L77" s="173" t="s">
        <v>43</v>
      </c>
      <c r="M77" s="129" t="s">
        <v>43</v>
      </c>
      <c r="N77" s="172" t="s">
        <v>43</v>
      </c>
      <c r="O77" s="173" t="s">
        <v>43</v>
      </c>
      <c r="P77" s="129" t="s">
        <v>43</v>
      </c>
      <c r="Q77" s="172" t="s">
        <v>43</v>
      </c>
      <c r="R77" s="448" t="s">
        <v>43</v>
      </c>
      <c r="S77" s="449" t="s">
        <v>43</v>
      </c>
      <c r="T77" s="450" t="s">
        <v>43</v>
      </c>
      <c r="U77" s="451" t="s">
        <v>43</v>
      </c>
    </row>
    <row r="78" spans="1:26" s="3" customFormat="1" x14ac:dyDescent="0.25">
      <c r="A78" s="385">
        <v>10</v>
      </c>
      <c r="B78" s="385" t="s">
        <v>56</v>
      </c>
      <c r="C78" s="388">
        <f>'for Dist.'!I35</f>
        <v>100</v>
      </c>
      <c r="D78" s="340">
        <f>C78*D64</f>
        <v>45</v>
      </c>
      <c r="E78" s="348">
        <f>C78-D78</f>
        <v>55</v>
      </c>
      <c r="F78" s="401">
        <f>C78*F64</f>
        <v>40</v>
      </c>
      <c r="G78" s="328">
        <f>H78*G64</f>
        <v>1.5</v>
      </c>
      <c r="H78" s="402">
        <f>E78-F78</f>
        <v>15</v>
      </c>
      <c r="I78" s="351">
        <f>C78*I64</f>
        <v>5</v>
      </c>
      <c r="J78" s="332">
        <f>H78-I78-G78</f>
        <v>8.5</v>
      </c>
      <c r="L78" s="137">
        <f>0.1*L47</f>
        <v>1620</v>
      </c>
      <c r="M78" s="129">
        <f>D78*L78</f>
        <v>72900</v>
      </c>
      <c r="N78" s="148">
        <f>C78*L78</f>
        <v>162000</v>
      </c>
      <c r="O78" s="137">
        <f>0.1*O47</f>
        <v>1620</v>
      </c>
      <c r="P78" s="129">
        <f>F78*L78</f>
        <v>64800</v>
      </c>
      <c r="Q78" s="148">
        <f>E78*O78</f>
        <v>89100</v>
      </c>
      <c r="R78" s="448">
        <f>0.1*R47</f>
        <v>1620</v>
      </c>
      <c r="S78" s="453">
        <f>I78*R78</f>
        <v>8100</v>
      </c>
      <c r="T78" s="454">
        <f>G78*R78</f>
        <v>2430</v>
      </c>
      <c r="U78" s="451">
        <f>H78*R78</f>
        <v>24300</v>
      </c>
      <c r="V78" s="147" t="s">
        <v>97</v>
      </c>
    </row>
    <row r="79" spans="1:26" s="3" customFormat="1" x14ac:dyDescent="0.25">
      <c r="A79" s="385">
        <v>11</v>
      </c>
      <c r="B79" s="385" t="s">
        <v>45</v>
      </c>
      <c r="C79" s="388">
        <v>300</v>
      </c>
      <c r="D79" s="339" t="s">
        <v>43</v>
      </c>
      <c r="E79" s="348" t="s">
        <v>43</v>
      </c>
      <c r="F79" s="401">
        <v>300</v>
      </c>
      <c r="G79" s="330" t="s">
        <v>43</v>
      </c>
      <c r="H79" s="402">
        <v>0</v>
      </c>
      <c r="I79" s="351" t="s">
        <v>43</v>
      </c>
      <c r="J79" s="332" t="s">
        <v>43</v>
      </c>
      <c r="L79" s="173" t="s">
        <v>43</v>
      </c>
      <c r="M79" s="129" t="s">
        <v>43</v>
      </c>
      <c r="N79" s="172" t="s">
        <v>43</v>
      </c>
      <c r="O79" s="137">
        <f>0.1*O47</f>
        <v>1620</v>
      </c>
      <c r="P79" s="129">
        <f>F79*O79</f>
        <v>486000</v>
      </c>
      <c r="Q79" s="172">
        <f>C79*O79</f>
        <v>486000</v>
      </c>
      <c r="R79" s="448" t="s">
        <v>43</v>
      </c>
      <c r="S79" s="449" t="s">
        <v>43</v>
      </c>
      <c r="T79" s="450" t="s">
        <v>43</v>
      </c>
      <c r="U79" s="451" t="s">
        <v>43</v>
      </c>
      <c r="V79" s="147" t="s">
        <v>97</v>
      </c>
    </row>
    <row r="80" spans="1:26" s="3" customFormat="1" x14ac:dyDescent="0.25">
      <c r="A80" s="385">
        <v>12</v>
      </c>
      <c r="B80" s="392" t="s">
        <v>62</v>
      </c>
      <c r="C80" s="388">
        <v>600</v>
      </c>
      <c r="D80" s="339" t="s">
        <v>43</v>
      </c>
      <c r="E80" s="348" t="s">
        <v>43</v>
      </c>
      <c r="F80" s="401" t="s">
        <v>43</v>
      </c>
      <c r="G80" s="327">
        <v>0</v>
      </c>
      <c r="H80" s="402" t="s">
        <v>43</v>
      </c>
      <c r="I80" s="351">
        <v>600</v>
      </c>
      <c r="J80" s="332">
        <v>0</v>
      </c>
      <c r="L80" s="173" t="s">
        <v>43</v>
      </c>
      <c r="M80" s="129" t="s">
        <v>43</v>
      </c>
      <c r="N80" s="172" t="s">
        <v>43</v>
      </c>
      <c r="O80" s="173" t="s">
        <v>43</v>
      </c>
      <c r="P80" s="129" t="s">
        <v>43</v>
      </c>
      <c r="Q80" s="172" t="s">
        <v>43</v>
      </c>
      <c r="R80" s="448">
        <f>0.1*R47</f>
        <v>1620</v>
      </c>
      <c r="S80" s="449">
        <f>I80*R80</f>
        <v>972000</v>
      </c>
      <c r="T80" s="450" t="s">
        <v>43</v>
      </c>
      <c r="U80" s="451">
        <f>C80*R80</f>
        <v>972000</v>
      </c>
      <c r="V80" s="147" t="s">
        <v>97</v>
      </c>
      <c r="W80" s="1"/>
      <c r="X80" s="1"/>
      <c r="Y80" s="1"/>
      <c r="Z80" s="1"/>
    </row>
    <row r="81" spans="1:21" x14ac:dyDescent="0.25">
      <c r="A81" s="385">
        <v>13</v>
      </c>
      <c r="B81" s="385" t="s">
        <v>50</v>
      </c>
      <c r="C81" s="386" t="s">
        <v>43</v>
      </c>
      <c r="D81" s="339" t="s">
        <v>43</v>
      </c>
      <c r="E81" s="348" t="s">
        <v>52</v>
      </c>
      <c r="F81" s="343" t="s">
        <v>43</v>
      </c>
      <c r="G81" s="319" t="s">
        <v>43</v>
      </c>
      <c r="H81" s="402" t="s">
        <v>53</v>
      </c>
      <c r="I81" s="317" t="s">
        <v>43</v>
      </c>
      <c r="J81" s="332" t="s">
        <v>43</v>
      </c>
      <c r="L81" s="173" t="s">
        <v>43</v>
      </c>
      <c r="M81" s="129" t="s">
        <v>43</v>
      </c>
      <c r="N81" s="172" t="s">
        <v>43</v>
      </c>
      <c r="O81" s="173" t="s">
        <v>43</v>
      </c>
      <c r="P81" s="129" t="s">
        <v>43</v>
      </c>
      <c r="Q81" s="172" t="s">
        <v>43</v>
      </c>
      <c r="R81" s="448" t="s">
        <v>43</v>
      </c>
      <c r="S81" s="449" t="s">
        <v>43</v>
      </c>
      <c r="T81" s="450" t="s">
        <v>43</v>
      </c>
      <c r="U81" s="451" t="s">
        <v>43</v>
      </c>
    </row>
    <row r="82" spans="1:21" ht="16.5" thickBot="1" x14ac:dyDescent="0.3">
      <c r="A82" s="385">
        <v>14</v>
      </c>
      <c r="B82" s="385" t="s">
        <v>51</v>
      </c>
      <c r="C82" s="393" t="s">
        <v>43</v>
      </c>
      <c r="D82" s="349" t="s">
        <v>43</v>
      </c>
      <c r="E82" s="350" t="s">
        <v>53</v>
      </c>
      <c r="F82" s="403" t="s">
        <v>43</v>
      </c>
      <c r="G82" s="334" t="s">
        <v>43</v>
      </c>
      <c r="H82" s="404" t="s">
        <v>43</v>
      </c>
      <c r="I82" s="335" t="s">
        <v>43</v>
      </c>
      <c r="J82" s="336" t="s">
        <v>43</v>
      </c>
      <c r="L82" s="143" t="s">
        <v>43</v>
      </c>
      <c r="M82" s="144" t="s">
        <v>43</v>
      </c>
      <c r="N82" s="154" t="s">
        <v>43</v>
      </c>
      <c r="O82" s="143" t="s">
        <v>43</v>
      </c>
      <c r="P82" s="144" t="s">
        <v>43</v>
      </c>
      <c r="Q82" s="154" t="s">
        <v>43</v>
      </c>
      <c r="R82" s="468" t="s">
        <v>43</v>
      </c>
      <c r="S82" s="469" t="s">
        <v>43</v>
      </c>
      <c r="T82" s="470" t="s">
        <v>43</v>
      </c>
      <c r="U82" s="471" t="s">
        <v>43</v>
      </c>
    </row>
    <row r="83" spans="1:21" ht="16.5" thickBot="1" x14ac:dyDescent="0.3">
      <c r="L83" s="483"/>
      <c r="M83" s="484">
        <f>SUM(M66:M82)</f>
        <v>4139100</v>
      </c>
      <c r="N83" s="485">
        <f>SUM(N66:N82)</f>
        <v>6933600</v>
      </c>
      <c r="O83" s="483"/>
      <c r="P83" s="484">
        <f>SUM(P66:P82)</f>
        <v>874800</v>
      </c>
      <c r="Q83" s="485">
        <f>SUM(Q66:Q82)</f>
        <v>1020600</v>
      </c>
      <c r="R83" s="487"/>
      <c r="S83" s="486">
        <f>SUM(S66:S82)</f>
        <v>1506600</v>
      </c>
      <c r="T83" s="486">
        <f>SUM(T66:T82)</f>
        <v>14580</v>
      </c>
      <c r="U83" s="488">
        <f>SUM(U66:U82)</f>
        <v>1603800</v>
      </c>
    </row>
    <row r="85" spans="1:21" x14ac:dyDescent="0.25">
      <c r="M85" s="157">
        <f>M83/N83</f>
        <v>0.5969626168224299</v>
      </c>
      <c r="P85" s="157">
        <f>P83/Q83</f>
        <v>0.8571428571428571</v>
      </c>
      <c r="S85" s="157">
        <f>(S83+T83)/U83</f>
        <v>0.94848484848484849</v>
      </c>
      <c r="T85" s="157"/>
    </row>
    <row r="88" spans="1:21" x14ac:dyDescent="0.25">
      <c r="J88" s="1" t="s">
        <v>72</v>
      </c>
      <c r="M88" s="123">
        <f>M18+M42+M60+M83</f>
        <v>143334900</v>
      </c>
      <c r="N88" s="123">
        <f>N18+N42+N60+N83</f>
        <v>188211600</v>
      </c>
      <c r="P88" s="123">
        <f>P18+P42+P60+P83</f>
        <v>48492000</v>
      </c>
      <c r="Q88" s="123">
        <f>Q18+Q42+Q60+Q83</f>
        <v>39663000</v>
      </c>
      <c r="R88" s="123"/>
      <c r="S88" s="123">
        <f>S18+S42+S60+S83</f>
        <v>10152000</v>
      </c>
      <c r="T88" s="123"/>
      <c r="U88" s="123">
        <f>U18+U42+U60+U83</f>
        <v>-8162100</v>
      </c>
    </row>
    <row r="89" spans="1:21" x14ac:dyDescent="0.25">
      <c r="M89" s="1" t="s">
        <v>73</v>
      </c>
      <c r="P89" s="123">
        <f>P88-P38-P79</f>
        <v>46872000</v>
      </c>
      <c r="Q89" s="123">
        <f>Q88-Q38-Q79</f>
        <v>38043000</v>
      </c>
      <c r="S89" s="123">
        <f>S88-S29-S39-S70-S80</f>
        <v>5859000</v>
      </c>
      <c r="T89" s="123"/>
      <c r="U89" s="123">
        <f>U88-U29-U39-U70-U80</f>
        <v>-12455100</v>
      </c>
    </row>
    <row r="90" spans="1:21" x14ac:dyDescent="0.25">
      <c r="M90" s="1" t="s">
        <v>74</v>
      </c>
      <c r="N90" s="123"/>
      <c r="S90" s="123"/>
      <c r="T90" s="123"/>
    </row>
    <row r="91" spans="1:21" x14ac:dyDescent="0.25">
      <c r="M91" s="1" t="s">
        <v>75</v>
      </c>
      <c r="P91" s="123"/>
      <c r="U91" s="123"/>
    </row>
    <row r="93" spans="1:21" x14ac:dyDescent="0.25">
      <c r="M93" s="157">
        <f>M88/N88</f>
        <v>0.76156251793194474</v>
      </c>
      <c r="P93" s="157">
        <f>P88/Q88</f>
        <v>1.2226004084411164</v>
      </c>
      <c r="S93" s="157">
        <f>S88/U88</f>
        <v>-1.2437975521005624</v>
      </c>
      <c r="T93" s="157"/>
    </row>
  </sheetData>
  <pageMargins left="0.23622047244094491" right="0.15748031496062992" top="0.43307086614173229" bottom="0.27559055118110237" header="0.31496062992125984" footer="0.15748031496062992"/>
  <pageSetup paperSize="9" scale="75" orientation="landscape" r:id="rId1"/>
  <rowBreaks count="1" manualBreakCount="1">
    <brk id="45" min="1" max="23" man="1"/>
  </rowBreaks>
  <colBreaks count="1" manualBreakCount="1"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view="pageBreakPreview" zoomScale="90" zoomScaleNormal="20" zoomScaleSheetLayoutView="90" workbookViewId="0">
      <selection activeCell="B19" sqref="B19"/>
    </sheetView>
  </sheetViews>
  <sheetFormatPr defaultRowHeight="15.75" x14ac:dyDescent="0.25"/>
  <cols>
    <col min="1" max="1" width="4.7109375" style="1" customWidth="1"/>
    <col min="2" max="2" width="31.7109375" style="1" customWidth="1"/>
    <col min="3" max="3" width="14.7109375" style="1" bestFit="1" customWidth="1"/>
    <col min="4" max="4" width="9.7109375" style="1" customWidth="1"/>
    <col min="5" max="5" width="10.140625" style="1" customWidth="1"/>
    <col min="6" max="6" width="10" style="1" customWidth="1"/>
    <col min="7" max="7" width="10.85546875" style="1" bestFit="1" customWidth="1"/>
    <col min="8" max="8" width="12.5703125" style="1" customWidth="1"/>
    <col min="9" max="9" width="8.42578125" style="1" customWidth="1"/>
    <col min="10" max="10" width="11.85546875" style="1" bestFit="1" customWidth="1"/>
    <col min="11" max="11" width="4.42578125" style="1" customWidth="1"/>
    <col min="12" max="12" width="10.42578125" style="1" bestFit="1" customWidth="1"/>
    <col min="13" max="13" width="16.5703125" style="1" bestFit="1" customWidth="1"/>
    <col min="14" max="14" width="16.85546875" style="1" bestFit="1" customWidth="1"/>
    <col min="15" max="15" width="8.7109375" style="1" bestFit="1" customWidth="1"/>
    <col min="16" max="17" width="16.85546875" style="1" bestFit="1" customWidth="1"/>
    <col min="18" max="18" width="8.7109375" style="1" bestFit="1" customWidth="1"/>
    <col min="19" max="20" width="14.5703125" style="1" bestFit="1" customWidth="1"/>
    <col min="21" max="21" width="15.7109375" style="1" bestFit="1" customWidth="1"/>
    <col min="22" max="22" width="44" style="1" bestFit="1" customWidth="1"/>
    <col min="23" max="23" width="15.42578125" style="1" bestFit="1" customWidth="1"/>
    <col min="24" max="24" width="9.7109375" style="1" bestFit="1" customWidth="1"/>
    <col min="25" max="25" width="16.85546875" style="1" bestFit="1" customWidth="1"/>
    <col min="26" max="26" width="9.140625" style="1"/>
    <col min="27" max="27" width="10.42578125" style="1" bestFit="1" customWidth="1"/>
    <col min="28" max="28" width="31.140625" style="1" bestFit="1" customWidth="1"/>
    <col min="29" max="29" width="14.7109375" style="1" bestFit="1" customWidth="1"/>
    <col min="30" max="30" width="9.7109375" style="1" bestFit="1" customWidth="1"/>
    <col min="31" max="31" width="16.85546875" style="1" bestFit="1" customWidth="1"/>
    <col min="32" max="16384" width="9.140625" style="1"/>
  </cols>
  <sheetData>
    <row r="1" spans="1:31" x14ac:dyDescent="0.25">
      <c r="B1" s="39" t="s">
        <v>22</v>
      </c>
    </row>
    <row r="3" spans="1:31" x14ac:dyDescent="0.25">
      <c r="A3" s="11"/>
      <c r="B3" s="37" t="s">
        <v>20</v>
      </c>
      <c r="C3" s="12"/>
      <c r="D3" s="12"/>
      <c r="E3" s="11"/>
      <c r="F3" s="11"/>
      <c r="G3" s="11"/>
      <c r="H3" s="11"/>
      <c r="I3" s="11"/>
      <c r="J3" s="11"/>
      <c r="AA3" s="11"/>
      <c r="AB3" s="11"/>
      <c r="AC3" s="12"/>
      <c r="AD3" s="11"/>
      <c r="AE3" s="11"/>
    </row>
    <row r="4" spans="1:31" ht="16.5" thickBot="1" x14ac:dyDescent="0.3">
      <c r="A4" s="3"/>
      <c r="B4" s="3"/>
      <c r="C4" s="71"/>
      <c r="D4" s="72">
        <v>0.15</v>
      </c>
      <c r="E4" s="72"/>
      <c r="F4" s="72">
        <v>0.5</v>
      </c>
      <c r="G4" s="72">
        <v>0.05</v>
      </c>
      <c r="H4" s="72"/>
      <c r="I4" s="72">
        <v>0.05</v>
      </c>
      <c r="J4" s="72"/>
      <c r="L4" s="1">
        <v>37800</v>
      </c>
      <c r="N4" s="101" t="s">
        <v>77</v>
      </c>
      <c r="O4" s="1">
        <f>L4</f>
        <v>37800</v>
      </c>
      <c r="P4" s="101"/>
      <c r="Q4" s="101" t="s">
        <v>102</v>
      </c>
      <c r="R4" s="1">
        <f>L4</f>
        <v>37800</v>
      </c>
      <c r="U4" s="101" t="s">
        <v>66</v>
      </c>
      <c r="Z4" s="11"/>
      <c r="AA4" s="12"/>
      <c r="AD4" s="19"/>
      <c r="AE4" s="19"/>
    </row>
    <row r="5" spans="1:31" ht="45" x14ac:dyDescent="0.25">
      <c r="A5" s="295"/>
      <c r="B5" s="296" t="s">
        <v>6</v>
      </c>
      <c r="C5" s="297" t="s">
        <v>36</v>
      </c>
      <c r="D5" s="254" t="s">
        <v>42</v>
      </c>
      <c r="E5" s="255" t="s">
        <v>162</v>
      </c>
      <c r="F5" s="574" t="s">
        <v>42</v>
      </c>
      <c r="G5" s="574" t="s">
        <v>165</v>
      </c>
      <c r="H5" s="575" t="s">
        <v>163</v>
      </c>
      <c r="I5" s="583" t="s">
        <v>42</v>
      </c>
      <c r="J5" s="584" t="s">
        <v>164</v>
      </c>
      <c r="L5" s="115" t="s">
        <v>64</v>
      </c>
      <c r="M5" s="135" t="s">
        <v>42</v>
      </c>
      <c r="N5" s="116" t="s">
        <v>65</v>
      </c>
      <c r="O5" s="115" t="s">
        <v>64</v>
      </c>
      <c r="P5" s="135" t="s">
        <v>42</v>
      </c>
      <c r="Q5" s="116" t="s">
        <v>65</v>
      </c>
      <c r="R5" s="417" t="s">
        <v>64</v>
      </c>
      <c r="S5" s="418" t="s">
        <v>42</v>
      </c>
      <c r="T5" s="419" t="s">
        <v>103</v>
      </c>
      <c r="U5" s="629" t="s">
        <v>65</v>
      </c>
    </row>
    <row r="6" spans="1:31" s="10" customFormat="1" x14ac:dyDescent="0.25">
      <c r="A6" s="298"/>
      <c r="B6" s="283" t="s">
        <v>10</v>
      </c>
      <c r="C6" s="284">
        <f>'for Dist.'!C6</f>
        <v>2880</v>
      </c>
      <c r="D6" s="256">
        <f>C6*D4</f>
        <v>432</v>
      </c>
      <c r="E6" s="257">
        <f>C6-D6</f>
        <v>2448</v>
      </c>
      <c r="F6" s="576">
        <f>(C25-1820-200)*F4+(C26+C28+C32)</f>
        <v>2880</v>
      </c>
      <c r="G6" s="576">
        <f>(E6)*G4</f>
        <v>122.4</v>
      </c>
      <c r="H6" s="577">
        <f>E6-F6-G6</f>
        <v>-554.4</v>
      </c>
      <c r="I6" s="585">
        <f>(C25-1820-200)*I4</f>
        <v>69</v>
      </c>
      <c r="J6" s="586">
        <f>H6-I6</f>
        <v>-623.4</v>
      </c>
      <c r="L6" s="407">
        <f>L4*0.5</f>
        <v>18900</v>
      </c>
      <c r="M6" s="124">
        <f>D6*L6</f>
        <v>8164800</v>
      </c>
      <c r="N6" s="113">
        <f>C6*L6</f>
        <v>54432000</v>
      </c>
      <c r="O6" s="127">
        <f>L6</f>
        <v>18900</v>
      </c>
      <c r="P6" s="124">
        <f>F6*O6</f>
        <v>54432000</v>
      </c>
      <c r="Q6" s="113">
        <f>E6*O6</f>
        <v>46267200</v>
      </c>
      <c r="R6" s="421">
        <f>L6</f>
        <v>18900</v>
      </c>
      <c r="S6" s="422">
        <f>I6*R6</f>
        <v>1304100</v>
      </c>
      <c r="T6" s="423">
        <f>G6*R6</f>
        <v>2313360</v>
      </c>
      <c r="U6" s="630">
        <f>H6*R6</f>
        <v>-10478160</v>
      </c>
      <c r="V6" s="627" t="s">
        <v>197</v>
      </c>
    </row>
    <row r="7" spans="1:31" x14ac:dyDescent="0.25">
      <c r="A7" s="299"/>
      <c r="B7" s="619" t="s">
        <v>166</v>
      </c>
      <c r="C7" s="286" t="str">
        <f>'for Dist.'!C7</f>
        <v>Valued at 4,900</v>
      </c>
      <c r="D7" s="258"/>
      <c r="E7" s="259"/>
      <c r="F7" s="578"/>
      <c r="G7" s="578"/>
      <c r="H7" s="579"/>
      <c r="I7" s="587"/>
      <c r="J7" s="588"/>
      <c r="L7" s="408"/>
      <c r="M7" s="125"/>
      <c r="N7" s="111"/>
      <c r="O7" s="156"/>
      <c r="P7" s="125"/>
      <c r="Q7" s="111"/>
      <c r="R7" s="425"/>
      <c r="S7" s="426"/>
      <c r="T7" s="427"/>
      <c r="U7" s="631"/>
    </row>
    <row r="8" spans="1:31" x14ac:dyDescent="0.25">
      <c r="A8" s="299"/>
      <c r="B8" s="287" t="s">
        <v>12</v>
      </c>
      <c r="C8" s="288" t="str">
        <f>'for Dist.'!C9</f>
        <v xml:space="preserve">save 1640 </v>
      </c>
      <c r="D8" s="258"/>
      <c r="E8" s="259"/>
      <c r="F8" s="578"/>
      <c r="G8" s="578"/>
      <c r="H8" s="579"/>
      <c r="I8" s="587"/>
      <c r="J8" s="588"/>
      <c r="L8" s="409"/>
      <c r="M8" s="125"/>
      <c r="N8" s="111"/>
      <c r="O8" s="118"/>
      <c r="P8" s="125"/>
      <c r="Q8" s="111"/>
      <c r="R8" s="429"/>
      <c r="S8" s="426"/>
      <c r="T8" s="427"/>
      <c r="U8" s="631"/>
    </row>
    <row r="9" spans="1:31" x14ac:dyDescent="0.25">
      <c r="A9" s="299"/>
      <c r="B9" s="287" t="s">
        <v>35</v>
      </c>
      <c r="C9" s="289"/>
      <c r="D9" s="260"/>
      <c r="E9" s="259"/>
      <c r="F9" s="578"/>
      <c r="G9" s="578"/>
      <c r="H9" s="579"/>
      <c r="I9" s="587"/>
      <c r="J9" s="588"/>
      <c r="L9" s="409"/>
      <c r="M9" s="125"/>
      <c r="N9" s="111"/>
      <c r="O9" s="118"/>
      <c r="P9" s="125"/>
      <c r="Q9" s="111"/>
      <c r="R9" s="429"/>
      <c r="S9" s="426"/>
      <c r="T9" s="427"/>
      <c r="U9" s="631"/>
    </row>
    <row r="10" spans="1:31" x14ac:dyDescent="0.25">
      <c r="A10" s="300"/>
      <c r="B10" s="287" t="s">
        <v>54</v>
      </c>
      <c r="C10" s="289"/>
      <c r="D10" s="260"/>
      <c r="E10" s="259"/>
      <c r="F10" s="578"/>
      <c r="G10" s="578"/>
      <c r="H10" s="579"/>
      <c r="I10" s="587"/>
      <c r="J10" s="588"/>
      <c r="L10" s="410"/>
      <c r="M10" s="126"/>
      <c r="N10" s="114"/>
      <c r="O10" s="119"/>
      <c r="P10" s="126"/>
      <c r="Q10" s="114"/>
      <c r="R10" s="430"/>
      <c r="S10" s="431"/>
      <c r="T10" s="432"/>
      <c r="U10" s="632"/>
    </row>
    <row r="11" spans="1:31" x14ac:dyDescent="0.25">
      <c r="A11" s="301"/>
      <c r="B11" s="292" t="s">
        <v>14</v>
      </c>
      <c r="C11" s="293">
        <f>'for Dist.'!C11</f>
        <v>2330</v>
      </c>
      <c r="D11" s="256">
        <f>C11*D4</f>
        <v>349.5</v>
      </c>
      <c r="E11" s="257">
        <f>C11-D11</f>
        <v>1980.5</v>
      </c>
      <c r="F11" s="576">
        <f>(C25-1820)*F4+(C26+C28)</f>
        <v>1540</v>
      </c>
      <c r="G11" s="576">
        <f>(E11)*G4</f>
        <v>99.025000000000006</v>
      </c>
      <c r="H11" s="577">
        <f>E11-F11-G11</f>
        <v>341.47500000000002</v>
      </c>
      <c r="I11" s="585">
        <f>(C25-1820)*I4</f>
        <v>79</v>
      </c>
      <c r="J11" s="586">
        <f>H11-I11</f>
        <v>262.47500000000002</v>
      </c>
      <c r="L11" s="409">
        <f>L4*0.3</f>
        <v>11340</v>
      </c>
      <c r="M11" s="124">
        <f>D11*L11</f>
        <v>3963330</v>
      </c>
      <c r="N11" s="113">
        <f>C11*L11</f>
        <v>26422200</v>
      </c>
      <c r="O11" s="118">
        <f>L11</f>
        <v>11340</v>
      </c>
      <c r="P11" s="124">
        <f>F11*O11</f>
        <v>17463600</v>
      </c>
      <c r="Q11" s="113">
        <f>E11*O11</f>
        <v>22458870</v>
      </c>
      <c r="R11" s="429">
        <f>O11</f>
        <v>11340</v>
      </c>
      <c r="S11" s="422">
        <f>I11*R11</f>
        <v>895860</v>
      </c>
      <c r="T11" s="423">
        <f>G11*R11</f>
        <v>1122943.5</v>
      </c>
      <c r="U11" s="630">
        <f>H11*R11</f>
        <v>3872326.5000000005</v>
      </c>
      <c r="V11" s="627" t="s">
        <v>91</v>
      </c>
    </row>
    <row r="12" spans="1:31" x14ac:dyDescent="0.25">
      <c r="A12" s="299"/>
      <c r="B12" s="648" t="s">
        <v>166</v>
      </c>
      <c r="C12" s="286" t="str">
        <f>'for Dist.'!C12</f>
        <v>Valued at 4,150</v>
      </c>
      <c r="D12" s="258"/>
      <c r="E12" s="259"/>
      <c r="F12" s="578"/>
      <c r="G12" s="578"/>
      <c r="H12" s="579"/>
      <c r="I12" s="587"/>
      <c r="J12" s="588"/>
      <c r="L12" s="409"/>
      <c r="M12" s="125"/>
      <c r="N12" s="111"/>
      <c r="O12" s="118"/>
      <c r="P12" s="125"/>
      <c r="Q12" s="111"/>
      <c r="R12" s="429"/>
      <c r="S12" s="426"/>
      <c r="T12" s="427"/>
      <c r="U12" s="631"/>
    </row>
    <row r="13" spans="1:31" x14ac:dyDescent="0.25">
      <c r="A13" s="299"/>
      <c r="B13" s="619" t="s">
        <v>12</v>
      </c>
      <c r="C13" s="286" t="str">
        <f>'for Dist.'!C14</f>
        <v xml:space="preserve">save 1,820 </v>
      </c>
      <c r="D13" s="258"/>
      <c r="E13" s="259"/>
      <c r="F13" s="578"/>
      <c r="G13" s="578"/>
      <c r="H13" s="579"/>
      <c r="I13" s="587"/>
      <c r="J13" s="588"/>
      <c r="L13" s="409"/>
      <c r="M13" s="125"/>
      <c r="N13" s="111"/>
      <c r="O13" s="118"/>
      <c r="P13" s="125"/>
      <c r="Q13" s="111"/>
      <c r="R13" s="429"/>
      <c r="S13" s="426"/>
      <c r="T13" s="427"/>
      <c r="U13" s="631"/>
    </row>
    <row r="14" spans="1:31" x14ac:dyDescent="0.25">
      <c r="A14" s="300"/>
      <c r="B14" s="294" t="s">
        <v>35</v>
      </c>
      <c r="C14" s="288"/>
      <c r="D14" s="258"/>
      <c r="E14" s="262"/>
      <c r="F14" s="580"/>
      <c r="G14" s="580"/>
      <c r="H14" s="579"/>
      <c r="I14" s="589"/>
      <c r="J14" s="590"/>
      <c r="L14" s="409"/>
      <c r="M14" s="125"/>
      <c r="N14" s="111"/>
      <c r="O14" s="118"/>
      <c r="P14" s="125"/>
      <c r="Q14" s="111"/>
      <c r="R14" s="429"/>
      <c r="S14" s="426"/>
      <c r="T14" s="427"/>
      <c r="U14" s="631"/>
    </row>
    <row r="15" spans="1:31" x14ac:dyDescent="0.25">
      <c r="A15" s="301"/>
      <c r="B15" s="292" t="s">
        <v>23</v>
      </c>
      <c r="C15" s="293">
        <f>'for Dist.'!C15</f>
        <v>1580</v>
      </c>
      <c r="D15" s="256">
        <f>C15*D4</f>
        <v>237</v>
      </c>
      <c r="E15" s="257">
        <f>C15-D15</f>
        <v>1343</v>
      </c>
      <c r="F15" s="576">
        <f>(C25-1820)*F4</f>
        <v>790</v>
      </c>
      <c r="G15" s="576">
        <f>(E15)*G4</f>
        <v>67.150000000000006</v>
      </c>
      <c r="H15" s="577">
        <f>E15-F15-G15</f>
        <v>485.85</v>
      </c>
      <c r="I15" s="585">
        <f>(C25-1820)*I4</f>
        <v>79</v>
      </c>
      <c r="J15" s="586">
        <f>H15-I15</f>
        <v>406.85</v>
      </c>
      <c r="L15" s="411">
        <f>L4*0.2</f>
        <v>7560</v>
      </c>
      <c r="M15" s="124">
        <f>D15*L15</f>
        <v>1791720</v>
      </c>
      <c r="N15" s="113">
        <f>C15*L15</f>
        <v>11944800</v>
      </c>
      <c r="O15" s="195">
        <f>L15</f>
        <v>7560</v>
      </c>
      <c r="P15" s="124">
        <f>F15*O15</f>
        <v>5972400</v>
      </c>
      <c r="Q15" s="113">
        <f>E15*O15</f>
        <v>10153080</v>
      </c>
      <c r="R15" s="434">
        <f>O15</f>
        <v>7560</v>
      </c>
      <c r="S15" s="422">
        <f>I15*R15</f>
        <v>597240</v>
      </c>
      <c r="T15" s="423">
        <f>G15*R15</f>
        <v>507654.00000000006</v>
      </c>
      <c r="U15" s="630">
        <f>H15*R15</f>
        <v>3673026</v>
      </c>
      <c r="V15" s="628" t="s">
        <v>92</v>
      </c>
      <c r="W15" s="194"/>
      <c r="X15" s="194"/>
      <c r="Y15" s="194"/>
    </row>
    <row r="16" spans="1:31" x14ac:dyDescent="0.25">
      <c r="A16" s="299"/>
      <c r="B16" s="648" t="s">
        <v>166</v>
      </c>
      <c r="C16" s="288" t="str">
        <f>'for Dist.'!C16</f>
        <v>Valued at 3,400</v>
      </c>
      <c r="D16" s="260"/>
      <c r="E16" s="265"/>
      <c r="F16" s="581"/>
      <c r="G16" s="593"/>
      <c r="H16" s="597"/>
      <c r="I16" s="595"/>
      <c r="J16" s="591"/>
      <c r="L16" s="412"/>
      <c r="M16" s="214"/>
      <c r="N16" s="215"/>
      <c r="O16" s="213"/>
      <c r="P16" s="214"/>
      <c r="Q16" s="215"/>
      <c r="R16" s="429"/>
      <c r="S16" s="435"/>
      <c r="T16" s="436"/>
      <c r="U16" s="633"/>
      <c r="V16" s="194"/>
      <c r="W16" s="194"/>
      <c r="X16" s="194"/>
      <c r="Y16" s="194"/>
    </row>
    <row r="17" spans="1:22" ht="16.5" thickBot="1" x14ac:dyDescent="0.3">
      <c r="A17" s="302"/>
      <c r="B17" s="303"/>
      <c r="C17" s="304" t="str">
        <f>'for Dist.'!C17</f>
        <v xml:space="preserve">save 1,820 </v>
      </c>
      <c r="D17" s="266"/>
      <c r="E17" s="267"/>
      <c r="F17" s="582"/>
      <c r="G17" s="594"/>
      <c r="H17" s="598"/>
      <c r="I17" s="596"/>
      <c r="J17" s="592"/>
      <c r="L17" s="412"/>
      <c r="M17" s="405"/>
      <c r="N17" s="406"/>
      <c r="O17" s="213"/>
      <c r="P17" s="405"/>
      <c r="Q17" s="406"/>
      <c r="R17" s="429"/>
      <c r="S17" s="426"/>
      <c r="T17" s="427"/>
      <c r="U17" s="631"/>
    </row>
    <row r="18" spans="1:22" ht="16.5" thickBot="1" x14ac:dyDescent="0.3">
      <c r="L18" s="413">
        <f>SUM(L6:L15)</f>
        <v>37800</v>
      </c>
      <c r="M18" s="414">
        <f>SUM(M6:M17)</f>
        <v>13919850</v>
      </c>
      <c r="N18" s="415">
        <f>SUM(N6:N17)</f>
        <v>92799000</v>
      </c>
      <c r="O18" s="416"/>
      <c r="P18" s="414">
        <f>SUM(P6:P17)</f>
        <v>77868000</v>
      </c>
      <c r="Q18" s="415">
        <f>SUM(Q6:Q17)</f>
        <v>78879150</v>
      </c>
      <c r="R18" s="438"/>
      <c r="S18" s="439">
        <f>SUM(S6:S17)</f>
        <v>2797200</v>
      </c>
      <c r="T18" s="440">
        <f>SUM(T6:T17)</f>
        <v>3943957.5</v>
      </c>
      <c r="U18" s="634">
        <f>SUM(U6:U17)</f>
        <v>-2932807.5</v>
      </c>
    </row>
    <row r="19" spans="1:22" x14ac:dyDescent="0.25"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2" x14ac:dyDescent="0.25">
      <c r="L20" s="123"/>
      <c r="M20" s="157">
        <f>M18/N18</f>
        <v>0.15</v>
      </c>
      <c r="P20" s="157">
        <f>P18/Q18</f>
        <v>0.98718102312207978</v>
      </c>
      <c r="S20" s="157">
        <f>(S18+T18)/U18</f>
        <v>-2.2985339133236669</v>
      </c>
      <c r="T20" s="157"/>
    </row>
    <row r="21" spans="1:22" x14ac:dyDescent="0.25"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2" x14ac:dyDescent="0.25">
      <c r="B22" s="39" t="s">
        <v>46</v>
      </c>
    </row>
    <row r="23" spans="1:22" ht="16.5" thickBot="1" x14ac:dyDescent="0.3">
      <c r="A23" s="3"/>
      <c r="B23" s="3"/>
      <c r="C23" s="3"/>
      <c r="D23" s="42">
        <v>0.15</v>
      </c>
      <c r="E23" s="3"/>
      <c r="F23" s="42">
        <v>0.5</v>
      </c>
      <c r="G23" s="42">
        <v>0.05</v>
      </c>
      <c r="H23" s="3"/>
      <c r="I23" s="42">
        <v>0.05</v>
      </c>
      <c r="J23" s="42"/>
      <c r="N23" s="101" t="s">
        <v>77</v>
      </c>
      <c r="Q23" s="101" t="s">
        <v>102</v>
      </c>
      <c r="U23" s="101" t="s">
        <v>66</v>
      </c>
    </row>
    <row r="24" spans="1:22" s="3" customFormat="1" ht="30" x14ac:dyDescent="0.25">
      <c r="A24" s="308"/>
      <c r="B24" s="309" t="s">
        <v>6</v>
      </c>
      <c r="C24" s="310" t="s">
        <v>36</v>
      </c>
      <c r="D24" s="254" t="s">
        <v>42</v>
      </c>
      <c r="E24" s="255" t="s">
        <v>37</v>
      </c>
      <c r="F24" s="254" t="s">
        <v>42</v>
      </c>
      <c r="G24" s="312" t="s">
        <v>103</v>
      </c>
      <c r="H24" s="255" t="s">
        <v>38</v>
      </c>
      <c r="I24" s="311" t="s">
        <v>42</v>
      </c>
      <c r="J24" s="311" t="s">
        <v>39</v>
      </c>
      <c r="L24" s="115" t="s">
        <v>68</v>
      </c>
      <c r="M24" s="135" t="s">
        <v>42</v>
      </c>
      <c r="N24" s="116" t="s">
        <v>65</v>
      </c>
      <c r="O24" s="115" t="s">
        <v>68</v>
      </c>
      <c r="P24" s="135" t="s">
        <v>42</v>
      </c>
      <c r="Q24" s="116" t="s">
        <v>65</v>
      </c>
      <c r="R24" s="417" t="s">
        <v>68</v>
      </c>
      <c r="S24" s="442" t="s">
        <v>42</v>
      </c>
      <c r="T24" s="443" t="s">
        <v>103</v>
      </c>
      <c r="U24" s="444" t="s">
        <v>65</v>
      </c>
    </row>
    <row r="25" spans="1:22" s="3" customFormat="1" x14ac:dyDescent="0.25">
      <c r="A25" s="353">
        <v>1</v>
      </c>
      <c r="B25" s="645" t="s">
        <v>206</v>
      </c>
      <c r="C25" s="354">
        <v>3400</v>
      </c>
      <c r="D25" s="263">
        <f>C25*D23</f>
        <v>510</v>
      </c>
      <c r="E25" s="264">
        <f>C25-D25</f>
        <v>2890</v>
      </c>
      <c r="F25" s="268">
        <f>C25*F23</f>
        <v>1700</v>
      </c>
      <c r="G25" s="313">
        <f>G23*E25</f>
        <v>144.5</v>
      </c>
      <c r="H25" s="264">
        <f>E25-F25-G25</f>
        <v>1045.5</v>
      </c>
      <c r="I25" s="314">
        <f>C25*I23</f>
        <v>170</v>
      </c>
      <c r="J25" s="314">
        <f>H25-I25</f>
        <v>875.5</v>
      </c>
      <c r="L25" s="127">
        <v>0</v>
      </c>
      <c r="M25" s="124">
        <f>E25*L25</f>
        <v>0</v>
      </c>
      <c r="N25" s="113">
        <v>0</v>
      </c>
      <c r="O25" s="127">
        <v>0</v>
      </c>
      <c r="P25" s="124">
        <f>I25*O25</f>
        <v>0</v>
      </c>
      <c r="Q25" s="113">
        <v>0</v>
      </c>
      <c r="R25" s="421">
        <v>0</v>
      </c>
      <c r="S25" s="445">
        <f>I25*R25</f>
        <v>0</v>
      </c>
      <c r="T25" s="446">
        <v>0</v>
      </c>
      <c r="U25" s="447">
        <f>E25*R25</f>
        <v>0</v>
      </c>
    </row>
    <row r="26" spans="1:22" s="3" customFormat="1" x14ac:dyDescent="0.25">
      <c r="A26" s="353">
        <v>2</v>
      </c>
      <c r="B26" s="355" t="s">
        <v>0</v>
      </c>
      <c r="C26" s="356">
        <f>'for Dist.'!C24</f>
        <v>200</v>
      </c>
      <c r="D26" s="637" t="s">
        <v>43</v>
      </c>
      <c r="E26" s="338">
        <v>0</v>
      </c>
      <c r="F26" s="339">
        <v>200</v>
      </c>
      <c r="G26" s="316"/>
      <c r="H26" s="338" t="s">
        <v>43</v>
      </c>
      <c r="I26" s="317" t="s">
        <v>43</v>
      </c>
      <c r="J26" s="317" t="s">
        <v>43</v>
      </c>
      <c r="L26" s="137" t="s">
        <v>43</v>
      </c>
      <c r="M26" s="129">
        <v>0</v>
      </c>
      <c r="N26" s="148">
        <v>0</v>
      </c>
      <c r="O26" s="137">
        <f>(O11+O15)*0.5</f>
        <v>9450</v>
      </c>
      <c r="P26" s="129">
        <f>F26</f>
        <v>200</v>
      </c>
      <c r="Q26" s="148">
        <f>O26*P26</f>
        <v>1890000</v>
      </c>
      <c r="R26" s="448" t="s">
        <v>43</v>
      </c>
      <c r="S26" s="449" t="s">
        <v>43</v>
      </c>
      <c r="T26" s="450" t="s">
        <v>43</v>
      </c>
      <c r="U26" s="451" t="s">
        <v>43</v>
      </c>
      <c r="V26" s="147" t="s">
        <v>69</v>
      </c>
    </row>
    <row r="27" spans="1:22" s="3" customFormat="1" x14ac:dyDescent="0.25">
      <c r="A27" s="357">
        <v>3</v>
      </c>
      <c r="B27" s="618" t="s">
        <v>187</v>
      </c>
      <c r="C27" s="358">
        <f>'for Dist.'!C25</f>
        <v>500</v>
      </c>
      <c r="D27" s="639" t="s">
        <v>43</v>
      </c>
      <c r="E27" s="640" t="s">
        <v>43</v>
      </c>
      <c r="F27" s="268">
        <f>C27*F23</f>
        <v>250</v>
      </c>
      <c r="G27" s="313">
        <f>C27*G23</f>
        <v>25</v>
      </c>
      <c r="H27" s="264">
        <f>F27-G27</f>
        <v>225</v>
      </c>
      <c r="I27" s="314">
        <f>C27*I23</f>
        <v>25</v>
      </c>
      <c r="J27" s="314">
        <f>H27-I27</f>
        <v>200</v>
      </c>
      <c r="L27" s="137" t="s">
        <v>43</v>
      </c>
      <c r="M27" s="129" t="s">
        <v>43</v>
      </c>
      <c r="N27" s="148" t="s">
        <v>43</v>
      </c>
      <c r="O27" s="137">
        <f>0.1*O4</f>
        <v>3780</v>
      </c>
      <c r="P27" s="129">
        <f>F27*O27</f>
        <v>945000</v>
      </c>
      <c r="Q27" s="148">
        <f>C27*O27</f>
        <v>1890000</v>
      </c>
      <c r="R27" s="448">
        <f>0.1*R4</f>
        <v>3780</v>
      </c>
      <c r="S27" s="449">
        <f>I27*R27</f>
        <v>94500</v>
      </c>
      <c r="T27" s="450">
        <f>G27*R27</f>
        <v>94500</v>
      </c>
      <c r="U27" s="451">
        <f>H27*R27</f>
        <v>850500</v>
      </c>
      <c r="V27" s="147" t="s">
        <v>93</v>
      </c>
    </row>
    <row r="28" spans="1:22" s="3" customFormat="1" x14ac:dyDescent="0.25">
      <c r="A28" s="359">
        <v>4</v>
      </c>
      <c r="B28" s="620" t="s">
        <v>189</v>
      </c>
      <c r="C28" s="361">
        <f>'for Dist.'!C27</f>
        <v>550</v>
      </c>
      <c r="D28" s="637" t="s">
        <v>43</v>
      </c>
      <c r="E28" s="636" t="s">
        <v>43</v>
      </c>
      <c r="F28" s="339">
        <v>550</v>
      </c>
      <c r="G28" s="319" t="s">
        <v>43</v>
      </c>
      <c r="H28" s="338" t="s">
        <v>43</v>
      </c>
      <c r="I28" s="317" t="s">
        <v>43</v>
      </c>
      <c r="J28" s="317" t="s">
        <v>43</v>
      </c>
      <c r="L28" s="137" t="s">
        <v>43</v>
      </c>
      <c r="M28" s="129" t="s">
        <v>43</v>
      </c>
      <c r="N28" s="148" t="s">
        <v>43</v>
      </c>
      <c r="O28" s="137">
        <f>0.3*O15</f>
        <v>2268</v>
      </c>
      <c r="P28" s="129">
        <f>F28*O28</f>
        <v>1247400</v>
      </c>
      <c r="Q28" s="148">
        <f>F28*O28</f>
        <v>1247400</v>
      </c>
      <c r="R28" s="448" t="s">
        <v>43</v>
      </c>
      <c r="S28" s="449" t="s">
        <v>43</v>
      </c>
      <c r="T28" s="450" t="s">
        <v>43</v>
      </c>
      <c r="U28" s="451" t="s">
        <v>43</v>
      </c>
      <c r="V28" s="147" t="s">
        <v>71</v>
      </c>
    </row>
    <row r="29" spans="1:22" s="3" customFormat="1" x14ac:dyDescent="0.25">
      <c r="A29" s="359">
        <v>5</v>
      </c>
      <c r="B29" s="360" t="s">
        <v>58</v>
      </c>
      <c r="C29" s="361">
        <v>150</v>
      </c>
      <c r="D29" s="341" t="s">
        <v>43</v>
      </c>
      <c r="E29" s="342" t="s">
        <v>43</v>
      </c>
      <c r="F29" s="341" t="s">
        <v>43</v>
      </c>
      <c r="G29" s="319" t="s">
        <v>43</v>
      </c>
      <c r="H29" s="342" t="s">
        <v>43</v>
      </c>
      <c r="I29" s="317">
        <v>150</v>
      </c>
      <c r="J29" s="317">
        <v>0</v>
      </c>
      <c r="L29" s="137" t="s">
        <v>43</v>
      </c>
      <c r="M29" s="129" t="s">
        <v>43</v>
      </c>
      <c r="N29" s="148" t="s">
        <v>43</v>
      </c>
      <c r="O29" s="137" t="s">
        <v>43</v>
      </c>
      <c r="P29" s="129" t="s">
        <v>43</v>
      </c>
      <c r="Q29" s="148" t="s">
        <v>43</v>
      </c>
      <c r="R29" s="448">
        <f>R6*0.2</f>
        <v>3780</v>
      </c>
      <c r="S29" s="449">
        <f>I29*R29</f>
        <v>567000</v>
      </c>
      <c r="T29" s="450" t="s">
        <v>43</v>
      </c>
      <c r="U29" s="451">
        <f>C29*R29</f>
        <v>567000</v>
      </c>
      <c r="V29" s="147" t="s">
        <v>92</v>
      </c>
    </row>
    <row r="30" spans="1:22" s="3" customFormat="1" x14ac:dyDescent="0.25">
      <c r="A30" s="362">
        <v>6</v>
      </c>
      <c r="B30" s="360" t="s">
        <v>8</v>
      </c>
      <c r="C30" s="361">
        <f>'for Dist.'!C28</f>
        <v>280</v>
      </c>
      <c r="D30" s="637" t="s">
        <v>43</v>
      </c>
      <c r="E30" s="338">
        <v>0</v>
      </c>
      <c r="F30" s="339">
        <f>C30</f>
        <v>280</v>
      </c>
      <c r="G30" s="319" t="s">
        <v>43</v>
      </c>
      <c r="H30" s="338" t="s">
        <v>43</v>
      </c>
      <c r="I30" s="317" t="s">
        <v>43</v>
      </c>
      <c r="J30" s="317" t="s">
        <v>43</v>
      </c>
      <c r="L30" s="140" t="s">
        <v>43</v>
      </c>
      <c r="M30" s="129" t="s">
        <v>43</v>
      </c>
      <c r="N30" s="148" t="s">
        <v>43</v>
      </c>
      <c r="O30" s="140">
        <f>(O11+O15)*0.2</f>
        <v>3780</v>
      </c>
      <c r="P30" s="129">
        <f>F30</f>
        <v>280</v>
      </c>
      <c r="Q30" s="148">
        <f>F30*O30</f>
        <v>1058400</v>
      </c>
      <c r="R30" s="452" t="s">
        <v>43</v>
      </c>
      <c r="S30" s="453" t="s">
        <v>43</v>
      </c>
      <c r="T30" s="454" t="s">
        <v>43</v>
      </c>
      <c r="U30" s="455" t="s">
        <v>43</v>
      </c>
      <c r="V30" s="147" t="s">
        <v>70</v>
      </c>
    </row>
    <row r="31" spans="1:22" s="3" customFormat="1" x14ac:dyDescent="0.25">
      <c r="A31" s="359">
        <v>7</v>
      </c>
      <c r="B31" s="360" t="s">
        <v>26</v>
      </c>
      <c r="C31" s="363">
        <f>'for Dist.'!C29</f>
        <v>50</v>
      </c>
      <c r="D31" s="637" t="s">
        <v>43</v>
      </c>
      <c r="E31" s="338" t="s">
        <v>43</v>
      </c>
      <c r="F31" s="343">
        <f>C31</f>
        <v>50</v>
      </c>
      <c r="G31" s="319" t="s">
        <v>43</v>
      </c>
      <c r="H31" s="344" t="s">
        <v>43</v>
      </c>
      <c r="I31" s="321" t="s">
        <v>43</v>
      </c>
      <c r="J31" s="321" t="s">
        <v>43</v>
      </c>
      <c r="L31" s="140" t="s">
        <v>43</v>
      </c>
      <c r="M31" s="129" t="s">
        <v>43</v>
      </c>
      <c r="N31" s="148" t="s">
        <v>43</v>
      </c>
      <c r="O31" s="140">
        <f>(O11+O15)*0.2</f>
        <v>3780</v>
      </c>
      <c r="P31" s="129">
        <f>F31</f>
        <v>50</v>
      </c>
      <c r="Q31" s="148">
        <f>F31*O31</f>
        <v>189000</v>
      </c>
      <c r="R31" s="452" t="s">
        <v>43</v>
      </c>
      <c r="S31" s="456" t="s">
        <v>43</v>
      </c>
      <c r="T31" s="457" t="s">
        <v>43</v>
      </c>
      <c r="U31" s="458" t="s">
        <v>43</v>
      </c>
      <c r="V31" s="147" t="s">
        <v>70</v>
      </c>
    </row>
    <row r="32" spans="1:22" s="3" customFormat="1" x14ac:dyDescent="0.25">
      <c r="A32" s="359">
        <v>8</v>
      </c>
      <c r="B32" s="364" t="s">
        <v>9</v>
      </c>
      <c r="C32" s="354">
        <f>'for Dist.'!C30</f>
        <v>1440</v>
      </c>
      <c r="D32" s="639" t="s">
        <v>43</v>
      </c>
      <c r="E32" s="345">
        <v>0</v>
      </c>
      <c r="F32" s="346">
        <f>C32</f>
        <v>1440</v>
      </c>
      <c r="G32" s="322" t="s">
        <v>43</v>
      </c>
      <c r="H32" s="347" t="s">
        <v>43</v>
      </c>
      <c r="I32" s="323" t="s">
        <v>43</v>
      </c>
      <c r="J32" s="323" t="s">
        <v>43</v>
      </c>
      <c r="L32" s="140" t="s">
        <v>43</v>
      </c>
      <c r="M32" s="131" t="s">
        <v>43</v>
      </c>
      <c r="N32" s="149" t="s">
        <v>43</v>
      </c>
      <c r="O32" s="140">
        <f>(O11+O15)*0.2</f>
        <v>3780</v>
      </c>
      <c r="P32" s="131">
        <f>F32</f>
        <v>1440</v>
      </c>
      <c r="Q32" s="149">
        <f>F32*O32</f>
        <v>5443200</v>
      </c>
      <c r="R32" s="452" t="s">
        <v>43</v>
      </c>
      <c r="S32" s="459" t="s">
        <v>43</v>
      </c>
      <c r="T32" s="457" t="s">
        <v>43</v>
      </c>
      <c r="U32" s="458" t="s">
        <v>43</v>
      </c>
      <c r="V32" s="147" t="s">
        <v>70</v>
      </c>
    </row>
    <row r="33" spans="1:28" s="3" customFormat="1" x14ac:dyDescent="0.25">
      <c r="A33" s="365"/>
      <c r="B33" s="366" t="s">
        <v>31</v>
      </c>
      <c r="C33" s="367"/>
      <c r="D33" s="260"/>
      <c r="E33" s="259"/>
      <c r="F33" s="260"/>
      <c r="G33" s="325"/>
      <c r="H33" s="259"/>
      <c r="I33" s="326"/>
      <c r="J33" s="326"/>
      <c r="L33" s="110"/>
      <c r="M33" s="125"/>
      <c r="N33" s="150"/>
      <c r="O33" s="110"/>
      <c r="P33" s="125"/>
      <c r="Q33" s="150"/>
      <c r="R33" s="460"/>
      <c r="S33" s="461"/>
      <c r="T33" s="462"/>
      <c r="U33" s="427"/>
    </row>
    <row r="34" spans="1:28" s="3" customFormat="1" x14ac:dyDescent="0.25">
      <c r="A34" s="368"/>
      <c r="B34" s="366" t="s">
        <v>27</v>
      </c>
      <c r="C34" s="367"/>
      <c r="D34" s="260"/>
      <c r="E34" s="259"/>
      <c r="F34" s="260"/>
      <c r="G34" s="325"/>
      <c r="H34" s="259"/>
      <c r="I34" s="326"/>
      <c r="J34" s="326"/>
      <c r="L34" s="110"/>
      <c r="M34" s="174"/>
      <c r="N34" s="151"/>
      <c r="O34" s="110"/>
      <c r="P34" s="174"/>
      <c r="Q34" s="151"/>
      <c r="R34" s="460"/>
      <c r="S34" s="463"/>
      <c r="T34" s="464"/>
      <c r="U34" s="436"/>
    </row>
    <row r="35" spans="1:28" s="3" customFormat="1" x14ac:dyDescent="0.25">
      <c r="A35" s="368"/>
      <c r="B35" s="366" t="s">
        <v>30</v>
      </c>
      <c r="C35" s="367"/>
      <c r="D35" s="260"/>
      <c r="E35" s="259"/>
      <c r="F35" s="260"/>
      <c r="G35" s="325"/>
      <c r="H35" s="259"/>
      <c r="I35" s="326"/>
      <c r="J35" s="326"/>
      <c r="L35" s="142"/>
      <c r="M35" s="126"/>
      <c r="N35" s="152"/>
      <c r="O35" s="142"/>
      <c r="P35" s="126"/>
      <c r="Q35" s="152"/>
      <c r="R35" s="465"/>
      <c r="S35" s="466"/>
      <c r="T35" s="467"/>
      <c r="U35" s="432"/>
    </row>
    <row r="36" spans="1:28" s="3" customFormat="1" x14ac:dyDescent="0.25">
      <c r="A36" s="357">
        <v>9</v>
      </c>
      <c r="B36" s="360" t="s">
        <v>32</v>
      </c>
      <c r="C36" s="361">
        <f>'for Dist.'!C34</f>
        <v>1050</v>
      </c>
      <c r="D36" s="635" t="s">
        <v>43</v>
      </c>
      <c r="E36" s="640" t="s">
        <v>43</v>
      </c>
      <c r="F36" s="340">
        <f>C36*F23</f>
        <v>525</v>
      </c>
      <c r="G36" s="327">
        <f>C36*G23</f>
        <v>52.5</v>
      </c>
      <c r="H36" s="264">
        <f>C36-F36</f>
        <v>525</v>
      </c>
      <c r="I36" s="351">
        <f>C36*I23</f>
        <v>52.5</v>
      </c>
      <c r="J36" s="314">
        <f>H36-I36</f>
        <v>472.5</v>
      </c>
      <c r="L36" s="173" t="s">
        <v>43</v>
      </c>
      <c r="M36" s="129" t="s">
        <v>43</v>
      </c>
      <c r="N36" s="172" t="s">
        <v>43</v>
      </c>
      <c r="O36" s="173" t="s">
        <v>43</v>
      </c>
      <c r="P36" s="129" t="s">
        <v>43</v>
      </c>
      <c r="Q36" s="172" t="s">
        <v>43</v>
      </c>
      <c r="R36" s="448" t="s">
        <v>43</v>
      </c>
      <c r="S36" s="449" t="s">
        <v>43</v>
      </c>
      <c r="T36" s="450" t="s">
        <v>43</v>
      </c>
      <c r="U36" s="451" t="s">
        <v>43</v>
      </c>
    </row>
    <row r="37" spans="1:28" s="3" customFormat="1" x14ac:dyDescent="0.25">
      <c r="A37" s="357">
        <v>10</v>
      </c>
      <c r="B37" s="364" t="s">
        <v>56</v>
      </c>
      <c r="C37" s="354">
        <f>'for Dist.'!C35</f>
        <v>100</v>
      </c>
      <c r="D37" s="638" t="s">
        <v>43</v>
      </c>
      <c r="E37" s="640" t="s">
        <v>43</v>
      </c>
      <c r="F37" s="263">
        <f>F23*C37</f>
        <v>50</v>
      </c>
      <c r="G37" s="329">
        <f>C37*G23</f>
        <v>5</v>
      </c>
      <c r="H37" s="264">
        <f>C37-F37</f>
        <v>50</v>
      </c>
      <c r="I37" s="352">
        <f>C37*I23</f>
        <v>5</v>
      </c>
      <c r="J37" s="314">
        <f>H37-I37</f>
        <v>45</v>
      </c>
      <c r="L37" s="137" t="s">
        <v>43</v>
      </c>
      <c r="M37" s="129" t="s">
        <v>43</v>
      </c>
      <c r="N37" s="148" t="s">
        <v>43</v>
      </c>
      <c r="O37" s="137">
        <f>0.1*O4</f>
        <v>3780</v>
      </c>
      <c r="P37" s="129">
        <f>F37*O37</f>
        <v>189000</v>
      </c>
      <c r="Q37" s="148">
        <f>C37*O37</f>
        <v>378000</v>
      </c>
      <c r="R37" s="448">
        <f>0.1*R4</f>
        <v>3780</v>
      </c>
      <c r="S37" s="453">
        <f>I37*R37</f>
        <v>18900</v>
      </c>
      <c r="T37" s="453">
        <f>G37*R37</f>
        <v>18900</v>
      </c>
      <c r="U37" s="451">
        <f>H37*R37</f>
        <v>189000</v>
      </c>
      <c r="V37" s="147" t="s">
        <v>93</v>
      </c>
    </row>
    <row r="38" spans="1:28" s="3" customFormat="1" x14ac:dyDescent="0.25">
      <c r="A38" s="357">
        <v>11</v>
      </c>
      <c r="B38" s="360" t="s">
        <v>45</v>
      </c>
      <c r="C38" s="361">
        <v>300</v>
      </c>
      <c r="D38" s="339" t="s">
        <v>43</v>
      </c>
      <c r="E38" s="348" t="s">
        <v>43</v>
      </c>
      <c r="F38" s="340">
        <v>300</v>
      </c>
      <c r="G38" s="330" t="s">
        <v>43</v>
      </c>
      <c r="H38" s="348">
        <v>0</v>
      </c>
      <c r="I38" s="351" t="s">
        <v>43</v>
      </c>
      <c r="J38" s="331" t="s">
        <v>43</v>
      </c>
      <c r="L38" s="173" t="s">
        <v>43</v>
      </c>
      <c r="M38" s="129" t="s">
        <v>43</v>
      </c>
      <c r="N38" s="172" t="s">
        <v>43</v>
      </c>
      <c r="O38" s="137">
        <f>0.1*O4</f>
        <v>3780</v>
      </c>
      <c r="P38" s="129">
        <f>F38*O38</f>
        <v>1134000</v>
      </c>
      <c r="Q38" s="172">
        <f>C38*O38</f>
        <v>1134000</v>
      </c>
      <c r="R38" s="448" t="s">
        <v>43</v>
      </c>
      <c r="S38" s="449" t="s">
        <v>43</v>
      </c>
      <c r="T38" s="450" t="s">
        <v>43</v>
      </c>
      <c r="U38" s="451" t="s">
        <v>43</v>
      </c>
      <c r="V38" s="147" t="s">
        <v>93</v>
      </c>
    </row>
    <row r="39" spans="1:28" s="3" customFormat="1" x14ac:dyDescent="0.25">
      <c r="A39" s="357">
        <v>12</v>
      </c>
      <c r="B39" s="364" t="s">
        <v>62</v>
      </c>
      <c r="C39" s="354">
        <v>600</v>
      </c>
      <c r="D39" s="346" t="s">
        <v>43</v>
      </c>
      <c r="E39" s="264" t="s">
        <v>43</v>
      </c>
      <c r="F39" s="263" t="s">
        <v>43</v>
      </c>
      <c r="G39" s="333" t="s">
        <v>43</v>
      </c>
      <c r="H39" s="264" t="s">
        <v>43</v>
      </c>
      <c r="I39" s="352">
        <v>600</v>
      </c>
      <c r="J39" s="314">
        <v>0</v>
      </c>
      <c r="L39" s="173" t="s">
        <v>43</v>
      </c>
      <c r="M39" s="129" t="s">
        <v>43</v>
      </c>
      <c r="N39" s="172" t="s">
        <v>43</v>
      </c>
      <c r="O39" s="173" t="s">
        <v>43</v>
      </c>
      <c r="P39" s="129" t="s">
        <v>43</v>
      </c>
      <c r="Q39" s="172" t="s">
        <v>43</v>
      </c>
      <c r="R39" s="448">
        <f>0.1*R4</f>
        <v>3780</v>
      </c>
      <c r="S39" s="449">
        <f>I39*R39</f>
        <v>2268000</v>
      </c>
      <c r="T39" s="450" t="s">
        <v>43</v>
      </c>
      <c r="U39" s="451">
        <f>C39*R39</f>
        <v>2268000</v>
      </c>
      <c r="V39" s="147" t="s">
        <v>93</v>
      </c>
      <c r="W39" s="1"/>
      <c r="X39" s="1"/>
      <c r="Y39" s="1"/>
      <c r="Z39" s="1"/>
      <c r="AA39" s="1"/>
      <c r="AB39" s="1"/>
    </row>
    <row r="40" spans="1:28" x14ac:dyDescent="0.25">
      <c r="A40" s="357">
        <v>13</v>
      </c>
      <c r="B40" s="360" t="s">
        <v>50</v>
      </c>
      <c r="C40" s="358" t="s">
        <v>43</v>
      </c>
      <c r="D40" s="339" t="s">
        <v>43</v>
      </c>
      <c r="E40" s="348" t="s">
        <v>52</v>
      </c>
      <c r="F40" s="339" t="s">
        <v>43</v>
      </c>
      <c r="G40" s="319" t="s">
        <v>43</v>
      </c>
      <c r="H40" s="348" t="s">
        <v>53</v>
      </c>
      <c r="I40" s="317" t="s">
        <v>43</v>
      </c>
      <c r="J40" s="331" t="s">
        <v>43</v>
      </c>
      <c r="L40" s="173" t="s">
        <v>43</v>
      </c>
      <c r="M40" s="129" t="s">
        <v>43</v>
      </c>
      <c r="N40" s="172" t="s">
        <v>43</v>
      </c>
      <c r="O40" s="173" t="s">
        <v>43</v>
      </c>
      <c r="P40" s="129" t="s">
        <v>43</v>
      </c>
      <c r="Q40" s="172" t="s">
        <v>43</v>
      </c>
      <c r="R40" s="448" t="s">
        <v>43</v>
      </c>
      <c r="S40" s="449" t="s">
        <v>43</v>
      </c>
      <c r="T40" s="450" t="s">
        <v>43</v>
      </c>
      <c r="U40" s="451" t="s">
        <v>43</v>
      </c>
    </row>
    <row r="41" spans="1:28" ht="16.5" thickBot="1" x14ac:dyDescent="0.3">
      <c r="A41" s="369">
        <v>14</v>
      </c>
      <c r="B41" s="370" t="s">
        <v>51</v>
      </c>
      <c r="C41" s="371" t="s">
        <v>43</v>
      </c>
      <c r="D41" s="349" t="s">
        <v>43</v>
      </c>
      <c r="E41" s="350" t="s">
        <v>53</v>
      </c>
      <c r="F41" s="349" t="s">
        <v>43</v>
      </c>
      <c r="G41" s="334" t="s">
        <v>43</v>
      </c>
      <c r="H41" s="350" t="s">
        <v>43</v>
      </c>
      <c r="I41" s="335" t="s">
        <v>43</v>
      </c>
      <c r="J41" s="335" t="s">
        <v>43</v>
      </c>
      <c r="L41" s="120" t="s">
        <v>43</v>
      </c>
      <c r="M41" s="131" t="s">
        <v>43</v>
      </c>
      <c r="N41" s="155" t="s">
        <v>43</v>
      </c>
      <c r="O41" s="120" t="s">
        <v>43</v>
      </c>
      <c r="P41" s="131" t="s">
        <v>43</v>
      </c>
      <c r="Q41" s="155" t="s">
        <v>43</v>
      </c>
      <c r="R41" s="434" t="s">
        <v>43</v>
      </c>
      <c r="S41" s="456" t="s">
        <v>43</v>
      </c>
      <c r="T41" s="457" t="s">
        <v>43</v>
      </c>
      <c r="U41" s="458" t="s">
        <v>43</v>
      </c>
    </row>
    <row r="42" spans="1:28" ht="16.5" thickBot="1" x14ac:dyDescent="0.3">
      <c r="L42" s="473"/>
      <c r="M42" s="414">
        <f>SUM(M25:M41)</f>
        <v>0</v>
      </c>
      <c r="N42" s="415">
        <f>SUM(N25:N41)</f>
        <v>0</v>
      </c>
      <c r="O42" s="473"/>
      <c r="P42" s="414">
        <f>SUM(P25:P41)</f>
        <v>3517370</v>
      </c>
      <c r="Q42" s="415">
        <f>SUM(Q25:Q41)</f>
        <v>13230000</v>
      </c>
      <c r="R42" s="438"/>
      <c r="S42" s="474">
        <f>SUM(S25:S41)</f>
        <v>2948400</v>
      </c>
      <c r="T42" s="474">
        <f>SUM(T25:T41)</f>
        <v>113400</v>
      </c>
      <c r="U42" s="439">
        <f>SUM(U25:U41)</f>
        <v>3874500</v>
      </c>
    </row>
    <row r="44" spans="1:28" x14ac:dyDescent="0.25">
      <c r="M44" s="157" t="s">
        <v>43</v>
      </c>
      <c r="P44" s="157">
        <f>P42/Q42</f>
        <v>0.26586318972033257</v>
      </c>
      <c r="S44" s="157">
        <f>(S42+T42)/U42</f>
        <v>0.79024390243902443</v>
      </c>
      <c r="T44" s="157"/>
    </row>
    <row r="46" spans="1:28" x14ac:dyDescent="0.25">
      <c r="A46" s="11"/>
      <c r="B46" s="37" t="s">
        <v>21</v>
      </c>
      <c r="C46" s="12"/>
      <c r="D46" s="12"/>
      <c r="E46" s="11"/>
      <c r="F46" s="11"/>
      <c r="G46" s="11"/>
      <c r="H46" s="11"/>
      <c r="I46" s="11"/>
    </row>
    <row r="47" spans="1:28" ht="16.5" thickBot="1" x14ac:dyDescent="0.3">
      <c r="D47" s="72">
        <v>0.15</v>
      </c>
      <c r="E47" s="72"/>
      <c r="F47" s="72">
        <v>0.5</v>
      </c>
      <c r="G47" s="72">
        <v>0.05</v>
      </c>
      <c r="H47" s="72"/>
      <c r="I47" s="72">
        <v>0.05</v>
      </c>
      <c r="J47" s="72"/>
      <c r="L47" s="1">
        <v>16200</v>
      </c>
      <c r="N47" s="101" t="s">
        <v>77</v>
      </c>
      <c r="O47" s="1">
        <v>500</v>
      </c>
      <c r="Q47" s="101" t="s">
        <v>102</v>
      </c>
      <c r="R47" s="1">
        <v>500</v>
      </c>
      <c r="U47" s="101" t="s">
        <v>66</v>
      </c>
    </row>
    <row r="48" spans="1:28" ht="30" x14ac:dyDescent="0.25">
      <c r="A48" s="376"/>
      <c r="B48" s="309" t="s">
        <v>6</v>
      </c>
      <c r="C48" s="377" t="s">
        <v>2</v>
      </c>
      <c r="D48" s="254" t="s">
        <v>42</v>
      </c>
      <c r="E48" s="255" t="s">
        <v>37</v>
      </c>
      <c r="F48" s="254" t="s">
        <v>42</v>
      </c>
      <c r="G48" s="254" t="s">
        <v>103</v>
      </c>
      <c r="H48" s="255" t="s">
        <v>38</v>
      </c>
      <c r="I48" s="254" t="s">
        <v>42</v>
      </c>
      <c r="J48" s="255" t="s">
        <v>39</v>
      </c>
      <c r="L48" s="115" t="s">
        <v>64</v>
      </c>
      <c r="M48" s="135" t="s">
        <v>42</v>
      </c>
      <c r="N48" s="116" t="s">
        <v>65</v>
      </c>
      <c r="O48" s="115" t="s">
        <v>64</v>
      </c>
      <c r="P48" s="135" t="s">
        <v>42</v>
      </c>
      <c r="Q48" s="116" t="s">
        <v>65</v>
      </c>
      <c r="R48" s="417" t="s">
        <v>64</v>
      </c>
      <c r="S48" s="418" t="s">
        <v>42</v>
      </c>
      <c r="T48" s="419" t="s">
        <v>103</v>
      </c>
      <c r="U48" s="444" t="s">
        <v>65</v>
      </c>
    </row>
    <row r="49" spans="1:23" x14ac:dyDescent="0.25">
      <c r="A49" s="378"/>
      <c r="B49" s="283" t="s">
        <v>10</v>
      </c>
      <c r="C49" s="372">
        <f>'for Dist.'!I6</f>
        <v>5080</v>
      </c>
      <c r="D49" s="256">
        <f>C49*D47</f>
        <v>762</v>
      </c>
      <c r="E49" s="257">
        <f>C49-D49</f>
        <v>4318</v>
      </c>
      <c r="F49" s="256">
        <f>(C66+(C68*5)-1820-C68-C67)*F47+(C67+C69+C73)</f>
        <v>5040</v>
      </c>
      <c r="G49" s="271">
        <f>E49*G47</f>
        <v>215.9</v>
      </c>
      <c r="H49" s="257">
        <f>E49-F49-G49</f>
        <v>-937.9</v>
      </c>
      <c r="I49" s="271">
        <f>(C66+(C68*5)-1820-C68-C67)*I47</f>
        <v>169</v>
      </c>
      <c r="J49" s="272">
        <f>H49-I49</f>
        <v>-1106.9000000000001</v>
      </c>
      <c r="L49" s="127">
        <f>L47*0.5</f>
        <v>8100</v>
      </c>
      <c r="M49" s="124">
        <f>D49*L49</f>
        <v>6172200</v>
      </c>
      <c r="N49" s="113">
        <f>C49*L49</f>
        <v>41148000</v>
      </c>
      <c r="O49" s="127">
        <f>L49</f>
        <v>8100</v>
      </c>
      <c r="P49" s="124">
        <f>F49*O49</f>
        <v>40824000</v>
      </c>
      <c r="Q49" s="113">
        <f>E49*O49</f>
        <v>34975800</v>
      </c>
      <c r="R49" s="421">
        <f>L49</f>
        <v>8100</v>
      </c>
      <c r="S49" s="422">
        <f>I49*R49</f>
        <v>1368900</v>
      </c>
      <c r="T49" s="423">
        <f>G49*R49</f>
        <v>1748790</v>
      </c>
      <c r="U49" s="447">
        <f>H49*R49</f>
        <v>-7596990</v>
      </c>
      <c r="V49" s="616" t="s">
        <v>191</v>
      </c>
      <c r="W49" s="10"/>
    </row>
    <row r="50" spans="1:23" x14ac:dyDescent="0.25">
      <c r="A50" s="379"/>
      <c r="B50" s="648" t="s">
        <v>166</v>
      </c>
      <c r="C50" s="373" t="str">
        <f>'for Dist.'!I7</f>
        <v>Valued at 7,600</v>
      </c>
      <c r="D50" s="258"/>
      <c r="E50" s="259"/>
      <c r="F50" s="260"/>
      <c r="G50" s="273"/>
      <c r="H50" s="259"/>
      <c r="I50" s="273"/>
      <c r="J50" s="274"/>
      <c r="L50" s="156"/>
      <c r="M50" s="125"/>
      <c r="N50" s="111"/>
      <c r="O50" s="156"/>
      <c r="P50" s="125"/>
      <c r="Q50" s="111"/>
      <c r="R50" s="429"/>
      <c r="S50" s="426"/>
      <c r="T50" s="427"/>
      <c r="U50" s="623"/>
    </row>
    <row r="51" spans="1:23" x14ac:dyDescent="0.25">
      <c r="A51" s="379"/>
      <c r="B51" s="287" t="s">
        <v>12</v>
      </c>
      <c r="C51" s="373" t="str">
        <f>'for Dist.'!I9</f>
        <v>save 2,520</v>
      </c>
      <c r="D51" s="258"/>
      <c r="E51" s="259"/>
      <c r="F51" s="260"/>
      <c r="G51" s="273"/>
      <c r="H51" s="259"/>
      <c r="I51" s="273"/>
      <c r="J51" s="274"/>
      <c r="L51" s="118"/>
      <c r="M51" s="125"/>
      <c r="N51" s="111"/>
      <c r="O51" s="118"/>
      <c r="P51" s="125"/>
      <c r="Q51" s="111"/>
      <c r="R51" s="429"/>
      <c r="S51" s="426"/>
      <c r="T51" s="427"/>
      <c r="U51" s="623"/>
    </row>
    <row r="52" spans="1:23" x14ac:dyDescent="0.25">
      <c r="A52" s="379"/>
      <c r="B52" s="619" t="s">
        <v>190</v>
      </c>
      <c r="C52" s="373"/>
      <c r="D52" s="260"/>
      <c r="E52" s="259"/>
      <c r="F52" s="260"/>
      <c r="G52" s="273"/>
      <c r="H52" s="259"/>
      <c r="I52" s="273"/>
      <c r="J52" s="274"/>
      <c r="L52" s="118"/>
      <c r="M52" s="125"/>
      <c r="N52" s="111"/>
      <c r="O52" s="118"/>
      <c r="P52" s="125"/>
      <c r="Q52" s="111"/>
      <c r="R52" s="429"/>
      <c r="S52" s="426"/>
      <c r="T52" s="427"/>
      <c r="U52" s="623"/>
    </row>
    <row r="53" spans="1:23" x14ac:dyDescent="0.25">
      <c r="A53" s="380"/>
      <c r="B53" s="287" t="s">
        <v>54</v>
      </c>
      <c r="C53" s="374"/>
      <c r="D53" s="260"/>
      <c r="E53" s="259"/>
      <c r="F53" s="260"/>
      <c r="G53" s="273"/>
      <c r="H53" s="259"/>
      <c r="I53" s="273"/>
      <c r="J53" s="274"/>
      <c r="L53" s="119"/>
      <c r="M53" s="126"/>
      <c r="N53" s="114"/>
      <c r="O53" s="119"/>
      <c r="P53" s="126"/>
      <c r="Q53" s="114"/>
      <c r="R53" s="430"/>
      <c r="S53" s="431"/>
      <c r="T53" s="432"/>
      <c r="U53" s="624"/>
    </row>
    <row r="54" spans="1:23" x14ac:dyDescent="0.25">
      <c r="A54" s="381"/>
      <c r="B54" s="292" t="s">
        <v>14</v>
      </c>
      <c r="C54" s="375">
        <f>'for Dist.'!I11</f>
        <v>4530</v>
      </c>
      <c r="D54" s="256">
        <f>C54*D47</f>
        <v>679.5</v>
      </c>
      <c r="E54" s="257">
        <f>C54-D54</f>
        <v>3850.5</v>
      </c>
      <c r="F54" s="256">
        <f>(C66+(C68*5)-1820-C68)*F47+(C67+C69)</f>
        <v>2740</v>
      </c>
      <c r="G54" s="271">
        <f>E54*G47</f>
        <v>192.52500000000001</v>
      </c>
      <c r="H54" s="257">
        <f>E54-F54-G54</f>
        <v>917.97500000000002</v>
      </c>
      <c r="I54" s="271">
        <f>(C66+(C68*5)-1820-C68)*I47</f>
        <v>179</v>
      </c>
      <c r="J54" s="272">
        <f>H54-I54</f>
        <v>738.97500000000002</v>
      </c>
      <c r="L54" s="118">
        <f>L47*0.3</f>
        <v>4860</v>
      </c>
      <c r="M54" s="124">
        <f>D54*L54</f>
        <v>3302370</v>
      </c>
      <c r="N54" s="113">
        <f>C54*L54</f>
        <v>22015800</v>
      </c>
      <c r="O54" s="118">
        <f>L54</f>
        <v>4860</v>
      </c>
      <c r="P54" s="124">
        <f>F54*O54</f>
        <v>13316400</v>
      </c>
      <c r="Q54" s="113">
        <f>E54*O54</f>
        <v>18713430</v>
      </c>
      <c r="R54" s="429">
        <f>L54</f>
        <v>4860</v>
      </c>
      <c r="S54" s="422">
        <f>I54*R54</f>
        <v>869940</v>
      </c>
      <c r="T54" s="423">
        <f>G54*R54</f>
        <v>935671.5</v>
      </c>
      <c r="U54" s="447">
        <f>H54*R54</f>
        <v>4461358.5</v>
      </c>
      <c r="V54" s="616" t="s">
        <v>95</v>
      </c>
    </row>
    <row r="55" spans="1:23" x14ac:dyDescent="0.25">
      <c r="A55" s="379"/>
      <c r="B55" s="648" t="s">
        <v>166</v>
      </c>
      <c r="C55" s="373" t="str">
        <f>'for Dist.'!I12</f>
        <v>Valued at 6,850</v>
      </c>
      <c r="D55" s="258"/>
      <c r="E55" s="259"/>
      <c r="F55" s="260"/>
      <c r="G55" s="273"/>
      <c r="H55" s="259"/>
      <c r="I55" s="273"/>
      <c r="J55" s="274"/>
      <c r="L55" s="118"/>
      <c r="M55" s="125"/>
      <c r="N55" s="111"/>
      <c r="O55" s="118"/>
      <c r="P55" s="125"/>
      <c r="Q55" s="111"/>
      <c r="R55" s="429"/>
      <c r="S55" s="426"/>
      <c r="T55" s="427"/>
      <c r="U55" s="623"/>
    </row>
    <row r="56" spans="1:23" x14ac:dyDescent="0.25">
      <c r="A56" s="380"/>
      <c r="B56" s="621" t="s">
        <v>190</v>
      </c>
      <c r="C56" s="373" t="str">
        <f>'for Dist.'!I14</f>
        <v>save 2,320</v>
      </c>
      <c r="D56" s="258"/>
      <c r="E56" s="262"/>
      <c r="F56" s="261"/>
      <c r="G56" s="275"/>
      <c r="H56" s="262"/>
      <c r="I56" s="275"/>
      <c r="J56" s="276"/>
      <c r="L56" s="118"/>
      <c r="M56" s="125"/>
      <c r="N56" s="111"/>
      <c r="O56" s="118"/>
      <c r="P56" s="125"/>
      <c r="Q56" s="111"/>
      <c r="R56" s="429"/>
      <c r="S56" s="426"/>
      <c r="T56" s="427"/>
      <c r="U56" s="623"/>
    </row>
    <row r="57" spans="1:23" x14ac:dyDescent="0.25">
      <c r="A57" s="381"/>
      <c r="B57" s="292" t="s">
        <v>23</v>
      </c>
      <c r="C57" s="375">
        <f>'for Dist.'!I15</f>
        <v>4080</v>
      </c>
      <c r="D57" s="256">
        <f>C57*D47</f>
        <v>612</v>
      </c>
      <c r="E57" s="264">
        <f>C57-D57</f>
        <v>3468</v>
      </c>
      <c r="F57" s="256">
        <f>(C66+(C68*5)-1820)*F47</f>
        <v>2040</v>
      </c>
      <c r="G57" s="271">
        <f>E57*G47</f>
        <v>173.4</v>
      </c>
      <c r="H57" s="257">
        <f>E57-F57-G57</f>
        <v>1254.5999999999999</v>
      </c>
      <c r="I57" s="277">
        <f>(C66+(C68*5)-1820)*I47</f>
        <v>204</v>
      </c>
      <c r="J57" s="272">
        <f>H57-I57</f>
        <v>1050.5999999999999</v>
      </c>
      <c r="L57" s="120">
        <f>L47*0.2</f>
        <v>3240</v>
      </c>
      <c r="M57" s="124">
        <f>D57*L57</f>
        <v>1982880</v>
      </c>
      <c r="N57" s="113">
        <f>C57*L57</f>
        <v>13219200</v>
      </c>
      <c r="O57" s="120">
        <f>L57</f>
        <v>3240</v>
      </c>
      <c r="P57" s="124">
        <f>F57*O57</f>
        <v>6609600</v>
      </c>
      <c r="Q57" s="113">
        <f>E57*O57</f>
        <v>11236320</v>
      </c>
      <c r="R57" s="434">
        <f>L57</f>
        <v>3240</v>
      </c>
      <c r="S57" s="422">
        <f>I57*R57</f>
        <v>660960</v>
      </c>
      <c r="T57" s="423">
        <f>G57*R57</f>
        <v>561816</v>
      </c>
      <c r="U57" s="447">
        <f>H57*R57</f>
        <v>4064903.9999999995</v>
      </c>
      <c r="V57" s="616" t="s">
        <v>96</v>
      </c>
    </row>
    <row r="58" spans="1:23" x14ac:dyDescent="0.25">
      <c r="A58" s="379"/>
      <c r="B58" s="648" t="s">
        <v>166</v>
      </c>
      <c r="C58" s="373" t="str">
        <f>'for Dist.'!I16</f>
        <v xml:space="preserve">Valued at 5,900 </v>
      </c>
      <c r="D58" s="260"/>
      <c r="E58" s="265"/>
      <c r="F58" s="269"/>
      <c r="G58" s="279"/>
      <c r="H58" s="265"/>
      <c r="I58" s="279"/>
      <c r="J58" s="280"/>
      <c r="L58" s="118"/>
      <c r="M58" s="174"/>
      <c r="N58" s="109"/>
      <c r="O58" s="118"/>
      <c r="P58" s="174"/>
      <c r="Q58" s="109"/>
      <c r="R58" s="429"/>
      <c r="S58" s="435"/>
      <c r="T58" s="436"/>
      <c r="U58" s="625"/>
      <c r="V58" s="147"/>
    </row>
    <row r="59" spans="1:23" ht="16.5" thickBot="1" x14ac:dyDescent="0.3">
      <c r="A59" s="382"/>
      <c r="B59" s="303"/>
      <c r="C59" s="622" t="str">
        <f>'for Dist.'!I17</f>
        <v>Discount 1,820</v>
      </c>
      <c r="D59" s="266"/>
      <c r="E59" s="267"/>
      <c r="F59" s="270"/>
      <c r="G59" s="281"/>
      <c r="H59" s="267"/>
      <c r="I59" s="281"/>
      <c r="J59" s="282"/>
      <c r="L59" s="121"/>
      <c r="M59" s="136"/>
      <c r="N59" s="112"/>
      <c r="O59" s="121"/>
      <c r="P59" s="136"/>
      <c r="Q59" s="112"/>
      <c r="R59" s="472"/>
      <c r="S59" s="476"/>
      <c r="T59" s="475"/>
      <c r="U59" s="626"/>
    </row>
    <row r="60" spans="1:23" ht="16.5" thickBot="1" x14ac:dyDescent="0.3">
      <c r="L60" s="477"/>
      <c r="M60" s="478">
        <f>SUM(M49:M59)</f>
        <v>11457450</v>
      </c>
      <c r="N60" s="479">
        <f>SUM(N49:N59)</f>
        <v>76383000</v>
      </c>
      <c r="O60" s="477"/>
      <c r="P60" s="478">
        <f>SUM(P49:P59)</f>
        <v>60750000</v>
      </c>
      <c r="Q60" s="479">
        <f>SUM(Q49:Q59)</f>
        <v>64925550</v>
      </c>
      <c r="R60" s="480"/>
      <c r="S60" s="481">
        <f>SUM(S49:S59)</f>
        <v>2899800</v>
      </c>
      <c r="T60" s="482">
        <f>SUM(T49:T59)</f>
        <v>3246277.5</v>
      </c>
      <c r="U60" s="481">
        <f>SUM(U49:U59)</f>
        <v>929272.49999999953</v>
      </c>
    </row>
    <row r="61" spans="1:23" x14ac:dyDescent="0.25">
      <c r="B61" s="39"/>
      <c r="L61" s="123"/>
      <c r="M61" s="123"/>
      <c r="N61" s="123"/>
      <c r="O61" s="123"/>
      <c r="P61" s="123"/>
      <c r="Q61" s="123"/>
      <c r="R61" s="123"/>
      <c r="S61" s="123"/>
      <c r="T61" s="123"/>
      <c r="U61" s="123"/>
    </row>
    <row r="62" spans="1:23" x14ac:dyDescent="0.25">
      <c r="B62" s="39"/>
      <c r="L62" s="123"/>
      <c r="M62" s="157">
        <f>M60/N60</f>
        <v>0.15</v>
      </c>
      <c r="P62" s="157">
        <f>P60/Q60</f>
        <v>0.93568710623167617</v>
      </c>
      <c r="S62" s="157">
        <f>(S60+T60)/U60</f>
        <v>6.6138592285901101</v>
      </c>
      <c r="T62" s="157"/>
    </row>
    <row r="63" spans="1:23" x14ac:dyDescent="0.25">
      <c r="B63" s="39" t="s">
        <v>7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</row>
    <row r="64" spans="1:23" ht="16.5" thickBot="1" x14ac:dyDescent="0.3">
      <c r="A64" s="3"/>
      <c r="B64" s="3"/>
      <c r="C64" s="3"/>
      <c r="D64" s="42">
        <v>0.15</v>
      </c>
      <c r="E64" s="3"/>
      <c r="F64" s="42">
        <v>0.5</v>
      </c>
      <c r="G64" s="42">
        <v>0.05</v>
      </c>
      <c r="H64" s="3"/>
      <c r="I64" s="42">
        <v>0.05</v>
      </c>
      <c r="J64" s="42"/>
      <c r="N64" s="101" t="s">
        <v>77</v>
      </c>
      <c r="Q64" s="101" t="s">
        <v>102</v>
      </c>
      <c r="U64" s="101" t="s">
        <v>66</v>
      </c>
    </row>
    <row r="65" spans="1:26" s="3" customFormat="1" ht="30" x14ac:dyDescent="0.25">
      <c r="A65" s="305"/>
      <c r="B65" s="305" t="s">
        <v>6</v>
      </c>
      <c r="C65" s="306" t="s">
        <v>36</v>
      </c>
      <c r="D65" s="254" t="s">
        <v>42</v>
      </c>
      <c r="E65" s="255" t="s">
        <v>37</v>
      </c>
      <c r="F65" s="307" t="s">
        <v>42</v>
      </c>
      <c r="G65" s="307" t="s">
        <v>124</v>
      </c>
      <c r="H65" s="310" t="s">
        <v>38</v>
      </c>
      <c r="I65" s="311" t="s">
        <v>42</v>
      </c>
      <c r="J65" s="255" t="s">
        <v>39</v>
      </c>
      <c r="L65" s="115" t="s">
        <v>68</v>
      </c>
      <c r="M65" s="135" t="s">
        <v>42</v>
      </c>
      <c r="N65" s="116" t="s">
        <v>65</v>
      </c>
      <c r="O65" s="115" t="s">
        <v>68</v>
      </c>
      <c r="P65" s="135" t="s">
        <v>42</v>
      </c>
      <c r="Q65" s="116" t="s">
        <v>65</v>
      </c>
      <c r="R65" s="417" t="s">
        <v>68</v>
      </c>
      <c r="S65" s="442" t="s">
        <v>42</v>
      </c>
      <c r="T65" s="443" t="s">
        <v>103</v>
      </c>
      <c r="U65" s="444" t="s">
        <v>65</v>
      </c>
    </row>
    <row r="66" spans="1:26" s="3" customFormat="1" x14ac:dyDescent="0.25">
      <c r="A66" s="290">
        <v>1</v>
      </c>
      <c r="B66" s="645" t="s">
        <v>206</v>
      </c>
      <c r="C66" s="293">
        <v>3400</v>
      </c>
      <c r="D66" s="263">
        <f>C66*D64</f>
        <v>510</v>
      </c>
      <c r="E66" s="264">
        <f>C66-D66</f>
        <v>2890</v>
      </c>
      <c r="F66" s="394">
        <f>C66*F64</f>
        <v>1700</v>
      </c>
      <c r="G66" s="315">
        <f>H66*G64</f>
        <v>59.5</v>
      </c>
      <c r="H66" s="395">
        <f>E66-F66</f>
        <v>1190</v>
      </c>
      <c r="I66" s="314">
        <f>C66*I64</f>
        <v>170</v>
      </c>
      <c r="J66" s="278">
        <f>H66-I66-G66</f>
        <v>960.5</v>
      </c>
      <c r="L66" s="127">
        <v>0</v>
      </c>
      <c r="M66" s="124">
        <f>E66*L66</f>
        <v>0</v>
      </c>
      <c r="N66" s="113">
        <v>0</v>
      </c>
      <c r="O66" s="127">
        <v>0</v>
      </c>
      <c r="P66" s="124">
        <f>I66*O66</f>
        <v>0</v>
      </c>
      <c r="Q66" s="113">
        <v>0</v>
      </c>
      <c r="R66" s="421">
        <v>0</v>
      </c>
      <c r="S66" s="445">
        <f>I66*R66</f>
        <v>0</v>
      </c>
      <c r="T66" s="446">
        <v>0</v>
      </c>
      <c r="U66" s="447">
        <f>E66*R66</f>
        <v>0</v>
      </c>
    </row>
    <row r="67" spans="1:26" s="3" customFormat="1" x14ac:dyDescent="0.25">
      <c r="A67" s="290">
        <v>2</v>
      </c>
      <c r="B67" s="383" t="s">
        <v>0</v>
      </c>
      <c r="C67" s="384">
        <f>'for Dist.'!I24</f>
        <v>200</v>
      </c>
      <c r="D67" s="337">
        <v>0</v>
      </c>
      <c r="E67" s="338">
        <v>0</v>
      </c>
      <c r="F67" s="343">
        <v>200</v>
      </c>
      <c r="G67" s="319" t="s">
        <v>43</v>
      </c>
      <c r="H67" s="396" t="s">
        <v>43</v>
      </c>
      <c r="I67" s="317" t="s">
        <v>43</v>
      </c>
      <c r="J67" s="318" t="s">
        <v>43</v>
      </c>
      <c r="L67" s="137" t="s">
        <v>43</v>
      </c>
      <c r="M67" s="129" t="s">
        <v>43</v>
      </c>
      <c r="N67" s="148" t="s">
        <v>43</v>
      </c>
      <c r="O67" s="137">
        <f>(O54+O57)*0.5</f>
        <v>4050</v>
      </c>
      <c r="P67" s="129">
        <f>F67*O67</f>
        <v>810000</v>
      </c>
      <c r="Q67" s="148">
        <f>F67*O67</f>
        <v>810000</v>
      </c>
      <c r="R67" s="448" t="s">
        <v>43</v>
      </c>
      <c r="S67" s="449" t="s">
        <v>43</v>
      </c>
      <c r="T67" s="450" t="s">
        <v>43</v>
      </c>
      <c r="U67" s="451" t="s">
        <v>43</v>
      </c>
      <c r="V67" s="147" t="s">
        <v>69</v>
      </c>
    </row>
    <row r="68" spans="1:26" s="3" customFormat="1" x14ac:dyDescent="0.25">
      <c r="A68" s="385">
        <v>3</v>
      </c>
      <c r="B68" s="618" t="s">
        <v>187</v>
      </c>
      <c r="C68" s="386">
        <f>'for Dist.'!I25</f>
        <v>500</v>
      </c>
      <c r="D68" s="639" t="s">
        <v>43</v>
      </c>
      <c r="E68" s="640" t="s">
        <v>43</v>
      </c>
      <c r="F68" s="394">
        <f>C68*F64</f>
        <v>250</v>
      </c>
      <c r="G68" s="315">
        <f>C68*G64</f>
        <v>25</v>
      </c>
      <c r="H68" s="395">
        <f>C68-F68</f>
        <v>250</v>
      </c>
      <c r="I68" s="314">
        <f>C68*I64</f>
        <v>25</v>
      </c>
      <c r="J68" s="278">
        <f>H68-I68-G68</f>
        <v>200</v>
      </c>
      <c r="L68" s="137" t="s">
        <v>43</v>
      </c>
      <c r="M68" s="129" t="s">
        <v>43</v>
      </c>
      <c r="N68" s="148" t="s">
        <v>43</v>
      </c>
      <c r="O68" s="137">
        <f>0.1*O47</f>
        <v>50</v>
      </c>
      <c r="P68" s="129">
        <f>F68*O68</f>
        <v>12500</v>
      </c>
      <c r="Q68" s="148">
        <f>C68*O68</f>
        <v>25000</v>
      </c>
      <c r="R68" s="448">
        <f>0.1*R47</f>
        <v>50</v>
      </c>
      <c r="S68" s="449">
        <f>I68*R68</f>
        <v>1250</v>
      </c>
      <c r="T68" s="450">
        <f>G68*R68</f>
        <v>1250</v>
      </c>
      <c r="U68" s="451">
        <f>H68*R68</f>
        <v>12500</v>
      </c>
      <c r="V68" s="147" t="s">
        <v>97</v>
      </c>
    </row>
    <row r="69" spans="1:26" s="3" customFormat="1" x14ac:dyDescent="0.25">
      <c r="A69" s="387">
        <v>4</v>
      </c>
      <c r="B69" s="620" t="s">
        <v>188</v>
      </c>
      <c r="C69" s="388">
        <f>'for Dist.'!I27</f>
        <v>750</v>
      </c>
      <c r="D69" s="637" t="s">
        <v>43</v>
      </c>
      <c r="E69" s="636" t="s">
        <v>43</v>
      </c>
      <c r="F69" s="343">
        <v>750</v>
      </c>
      <c r="G69" s="319" t="s">
        <v>43</v>
      </c>
      <c r="H69" s="396" t="s">
        <v>43</v>
      </c>
      <c r="I69" s="317" t="s">
        <v>43</v>
      </c>
      <c r="J69" s="318" t="s">
        <v>43</v>
      </c>
      <c r="L69" s="137" t="s">
        <v>43</v>
      </c>
      <c r="M69" s="129" t="s">
        <v>43</v>
      </c>
      <c r="N69" s="148" t="s">
        <v>43</v>
      </c>
      <c r="O69" s="137">
        <f>0.3*O57</f>
        <v>972</v>
      </c>
      <c r="P69" s="129">
        <f>F69*O69</f>
        <v>729000</v>
      </c>
      <c r="Q69" s="148">
        <f>F69*O69</f>
        <v>729000</v>
      </c>
      <c r="R69" s="448" t="s">
        <v>43</v>
      </c>
      <c r="S69" s="449" t="s">
        <v>43</v>
      </c>
      <c r="T69" s="450" t="s">
        <v>43</v>
      </c>
      <c r="U69" s="451" t="s">
        <v>43</v>
      </c>
      <c r="V69" s="147" t="s">
        <v>71</v>
      </c>
    </row>
    <row r="70" spans="1:26" s="3" customFormat="1" x14ac:dyDescent="0.25">
      <c r="A70" s="387">
        <v>5</v>
      </c>
      <c r="B70" s="389" t="s">
        <v>58</v>
      </c>
      <c r="C70" s="388">
        <v>150</v>
      </c>
      <c r="D70" s="341" t="s">
        <v>43</v>
      </c>
      <c r="E70" s="342" t="s">
        <v>43</v>
      </c>
      <c r="F70" s="341" t="s">
        <v>43</v>
      </c>
      <c r="G70" s="319" t="s">
        <v>43</v>
      </c>
      <c r="H70" s="342" t="s">
        <v>43</v>
      </c>
      <c r="I70" s="317">
        <v>150</v>
      </c>
      <c r="J70" s="318">
        <v>0</v>
      </c>
      <c r="L70" s="137" t="s">
        <v>43</v>
      </c>
      <c r="M70" s="129" t="s">
        <v>43</v>
      </c>
      <c r="N70" s="148" t="s">
        <v>43</v>
      </c>
      <c r="O70" s="137" t="s">
        <v>43</v>
      </c>
      <c r="P70" s="129" t="s">
        <v>43</v>
      </c>
      <c r="Q70" s="148" t="s">
        <v>43</v>
      </c>
      <c r="R70" s="448">
        <f>R47*0.2</f>
        <v>100</v>
      </c>
      <c r="S70" s="449">
        <f>I70*R70</f>
        <v>15000</v>
      </c>
      <c r="T70" s="450" t="s">
        <v>43</v>
      </c>
      <c r="U70" s="451">
        <f>C70*R70</f>
        <v>15000</v>
      </c>
      <c r="V70" s="147" t="s">
        <v>96</v>
      </c>
    </row>
    <row r="71" spans="1:26" s="3" customFormat="1" x14ac:dyDescent="0.25">
      <c r="A71" s="291">
        <v>6</v>
      </c>
      <c r="B71" s="385" t="s">
        <v>8</v>
      </c>
      <c r="C71" s="388">
        <f>'for Dist.'!I28</f>
        <v>280</v>
      </c>
      <c r="D71" s="637" t="s">
        <v>43</v>
      </c>
      <c r="E71" s="338">
        <v>0</v>
      </c>
      <c r="F71" s="343">
        <f>C71</f>
        <v>280</v>
      </c>
      <c r="G71" s="319" t="s">
        <v>43</v>
      </c>
      <c r="H71" s="396" t="s">
        <v>43</v>
      </c>
      <c r="I71" s="317" t="s">
        <v>43</v>
      </c>
      <c r="J71" s="318" t="s">
        <v>43</v>
      </c>
      <c r="L71" s="137" t="s">
        <v>43</v>
      </c>
      <c r="M71" s="129" t="s">
        <v>43</v>
      </c>
      <c r="N71" s="148" t="s">
        <v>43</v>
      </c>
      <c r="O71" s="140">
        <f>(O54+O57)*0.2</f>
        <v>1620</v>
      </c>
      <c r="P71" s="129">
        <f>F71*O71</f>
        <v>453600</v>
      </c>
      <c r="Q71" s="148">
        <f>F71*O71</f>
        <v>453600</v>
      </c>
      <c r="R71" s="452" t="s">
        <v>43</v>
      </c>
      <c r="S71" s="453" t="s">
        <v>43</v>
      </c>
      <c r="T71" s="454" t="s">
        <v>43</v>
      </c>
      <c r="U71" s="455" t="s">
        <v>43</v>
      </c>
      <c r="V71" s="147" t="s">
        <v>70</v>
      </c>
    </row>
    <row r="72" spans="1:26" s="3" customFormat="1" x14ac:dyDescent="0.25">
      <c r="A72" s="387">
        <v>7</v>
      </c>
      <c r="B72" s="389" t="s">
        <v>26</v>
      </c>
      <c r="C72" s="390">
        <f>'for Dist.'!I29</f>
        <v>50</v>
      </c>
      <c r="D72" s="637" t="s">
        <v>43</v>
      </c>
      <c r="E72" s="338" t="s">
        <v>43</v>
      </c>
      <c r="F72" s="343">
        <f>C72</f>
        <v>50</v>
      </c>
      <c r="G72" s="319" t="s">
        <v>43</v>
      </c>
      <c r="H72" s="344" t="s">
        <v>43</v>
      </c>
      <c r="I72" s="321" t="s">
        <v>43</v>
      </c>
      <c r="J72" s="320" t="s">
        <v>43</v>
      </c>
      <c r="L72" s="137" t="s">
        <v>43</v>
      </c>
      <c r="M72" s="129" t="s">
        <v>43</v>
      </c>
      <c r="N72" s="148" t="s">
        <v>43</v>
      </c>
      <c r="O72" s="140">
        <f>(O54+O57)*0.2</f>
        <v>1620</v>
      </c>
      <c r="P72" s="129">
        <f>F72*O72</f>
        <v>81000</v>
      </c>
      <c r="Q72" s="148">
        <f>F72*O72</f>
        <v>81000</v>
      </c>
      <c r="R72" s="452" t="s">
        <v>43</v>
      </c>
      <c r="S72" s="456" t="s">
        <v>43</v>
      </c>
      <c r="T72" s="457" t="s">
        <v>43</v>
      </c>
      <c r="U72" s="458" t="s">
        <v>43</v>
      </c>
      <c r="V72" s="147" t="s">
        <v>70</v>
      </c>
    </row>
    <row r="73" spans="1:26" s="3" customFormat="1" x14ac:dyDescent="0.25">
      <c r="A73" s="387">
        <v>8</v>
      </c>
      <c r="B73" s="291" t="s">
        <v>9</v>
      </c>
      <c r="C73" s="293">
        <f>'for Dist.'!I30</f>
        <v>2400</v>
      </c>
      <c r="D73" s="639" t="s">
        <v>43</v>
      </c>
      <c r="E73" s="345">
        <v>0</v>
      </c>
      <c r="F73" s="397">
        <f>C73</f>
        <v>2400</v>
      </c>
      <c r="G73" s="322" t="s">
        <v>43</v>
      </c>
      <c r="H73" s="398" t="s">
        <v>43</v>
      </c>
      <c r="I73" s="323" t="s">
        <v>43</v>
      </c>
      <c r="J73" s="324" t="s">
        <v>43</v>
      </c>
      <c r="L73" s="140" t="s">
        <v>43</v>
      </c>
      <c r="M73" s="131" t="s">
        <v>43</v>
      </c>
      <c r="N73" s="149" t="s">
        <v>43</v>
      </c>
      <c r="O73" s="140">
        <f>(O54+O57)*0.2</f>
        <v>1620</v>
      </c>
      <c r="P73" s="131">
        <f>F73*O73</f>
        <v>3888000</v>
      </c>
      <c r="Q73" s="149">
        <f>F73*O73</f>
        <v>3888000</v>
      </c>
      <c r="R73" s="452" t="s">
        <v>43</v>
      </c>
      <c r="S73" s="459" t="s">
        <v>43</v>
      </c>
      <c r="T73" s="457" t="s">
        <v>43</v>
      </c>
      <c r="U73" s="458" t="s">
        <v>43</v>
      </c>
      <c r="V73" s="147" t="s">
        <v>70</v>
      </c>
    </row>
    <row r="74" spans="1:26" s="3" customFormat="1" x14ac:dyDescent="0.25">
      <c r="A74" s="391"/>
      <c r="B74" s="285" t="s">
        <v>31</v>
      </c>
      <c r="C74" s="289"/>
      <c r="D74" s="260"/>
      <c r="E74" s="259"/>
      <c r="F74" s="399"/>
      <c r="G74" s="325"/>
      <c r="H74" s="400"/>
      <c r="I74" s="326"/>
      <c r="J74" s="274"/>
      <c r="L74" s="110"/>
      <c r="M74" s="125"/>
      <c r="N74" s="150"/>
      <c r="O74" s="110"/>
      <c r="P74" s="125"/>
      <c r="Q74" s="150"/>
      <c r="R74" s="460"/>
      <c r="S74" s="461"/>
      <c r="T74" s="462"/>
      <c r="U74" s="427"/>
    </row>
    <row r="75" spans="1:26" s="3" customFormat="1" x14ac:dyDescent="0.25">
      <c r="A75" s="285"/>
      <c r="B75" s="285" t="s">
        <v>28</v>
      </c>
      <c r="C75" s="289"/>
      <c r="D75" s="260"/>
      <c r="E75" s="259"/>
      <c r="F75" s="399"/>
      <c r="G75" s="325"/>
      <c r="H75" s="400"/>
      <c r="I75" s="326"/>
      <c r="J75" s="274"/>
      <c r="L75" s="110"/>
      <c r="M75" s="174"/>
      <c r="N75" s="151"/>
      <c r="O75" s="110"/>
      <c r="P75" s="174"/>
      <c r="Q75" s="151"/>
      <c r="R75" s="460"/>
      <c r="S75" s="463"/>
      <c r="T75" s="464"/>
      <c r="U75" s="436"/>
    </row>
    <row r="76" spans="1:26" s="3" customFormat="1" x14ac:dyDescent="0.25">
      <c r="A76" s="285"/>
      <c r="B76" s="285" t="s">
        <v>29</v>
      </c>
      <c r="C76" s="289"/>
      <c r="D76" s="260"/>
      <c r="E76" s="259"/>
      <c r="F76" s="399"/>
      <c r="G76" s="325"/>
      <c r="H76" s="400"/>
      <c r="I76" s="326"/>
      <c r="J76" s="274"/>
      <c r="L76" s="142"/>
      <c r="M76" s="126"/>
      <c r="N76" s="152"/>
      <c r="O76" s="142"/>
      <c r="P76" s="126"/>
      <c r="Q76" s="152"/>
      <c r="R76" s="465"/>
      <c r="S76" s="466"/>
      <c r="T76" s="467"/>
      <c r="U76" s="432"/>
    </row>
    <row r="77" spans="1:26" s="3" customFormat="1" x14ac:dyDescent="0.25">
      <c r="A77" s="385">
        <v>9</v>
      </c>
      <c r="B77" s="385" t="s">
        <v>32</v>
      </c>
      <c r="C77" s="388">
        <f>'for Dist.'!I34</f>
        <v>1050</v>
      </c>
      <c r="D77" s="635" t="s">
        <v>43</v>
      </c>
      <c r="E77" s="640" t="s">
        <v>43</v>
      </c>
      <c r="F77" s="401">
        <f>C77*F64</f>
        <v>525</v>
      </c>
      <c r="G77" s="328">
        <f>C77*G64</f>
        <v>52.5</v>
      </c>
      <c r="H77" s="395">
        <f>C77-F77</f>
        <v>525</v>
      </c>
      <c r="I77" s="351">
        <f>C77*I64</f>
        <v>52.5</v>
      </c>
      <c r="J77" s="278">
        <f>H77-I77-G77</f>
        <v>420</v>
      </c>
      <c r="L77" s="173" t="s">
        <v>43</v>
      </c>
      <c r="M77" s="129" t="s">
        <v>43</v>
      </c>
      <c r="N77" s="172" t="s">
        <v>43</v>
      </c>
      <c r="O77" s="173" t="s">
        <v>43</v>
      </c>
      <c r="P77" s="129" t="s">
        <v>43</v>
      </c>
      <c r="Q77" s="172" t="s">
        <v>43</v>
      </c>
      <c r="R77" s="448" t="s">
        <v>43</v>
      </c>
      <c r="S77" s="449" t="s">
        <v>43</v>
      </c>
      <c r="T77" s="450" t="s">
        <v>43</v>
      </c>
      <c r="U77" s="451" t="s">
        <v>43</v>
      </c>
    </row>
    <row r="78" spans="1:26" s="3" customFormat="1" x14ac:dyDescent="0.25">
      <c r="A78" s="385">
        <v>10</v>
      </c>
      <c r="B78" s="385" t="s">
        <v>56</v>
      </c>
      <c r="C78" s="388">
        <f>'for Dist.'!I35</f>
        <v>100</v>
      </c>
      <c r="D78" s="635" t="s">
        <v>43</v>
      </c>
      <c r="E78" s="641" t="s">
        <v>43</v>
      </c>
      <c r="F78" s="401">
        <f>C78*F64</f>
        <v>50</v>
      </c>
      <c r="G78" s="328">
        <f>C78*G64</f>
        <v>5</v>
      </c>
      <c r="H78" s="402">
        <f>C78-F78</f>
        <v>50</v>
      </c>
      <c r="I78" s="351">
        <f>C78*I64</f>
        <v>5</v>
      </c>
      <c r="J78" s="332">
        <f>H78-I78-G78</f>
        <v>40</v>
      </c>
      <c r="L78" s="137" t="s">
        <v>43</v>
      </c>
      <c r="M78" s="129" t="s">
        <v>43</v>
      </c>
      <c r="N78" s="148" t="s">
        <v>43</v>
      </c>
      <c r="O78" s="137">
        <f>0.1*O47</f>
        <v>50</v>
      </c>
      <c r="P78" s="129">
        <f>F78*O78</f>
        <v>2500</v>
      </c>
      <c r="Q78" s="148">
        <f>C78*O78</f>
        <v>5000</v>
      </c>
      <c r="R78" s="448">
        <f>0.1*R47</f>
        <v>50</v>
      </c>
      <c r="S78" s="453">
        <f>I78*R78</f>
        <v>250</v>
      </c>
      <c r="T78" s="454">
        <f>G78*R78</f>
        <v>250</v>
      </c>
      <c r="U78" s="451">
        <f>H78*R78</f>
        <v>2500</v>
      </c>
      <c r="V78" s="147" t="s">
        <v>97</v>
      </c>
    </row>
    <row r="79" spans="1:26" s="3" customFormat="1" x14ac:dyDescent="0.25">
      <c r="A79" s="385">
        <v>11</v>
      </c>
      <c r="B79" s="385" t="s">
        <v>45</v>
      </c>
      <c r="C79" s="388">
        <v>300</v>
      </c>
      <c r="D79" s="339" t="s">
        <v>43</v>
      </c>
      <c r="E79" s="348" t="s">
        <v>43</v>
      </c>
      <c r="F79" s="401">
        <v>300</v>
      </c>
      <c r="G79" s="330" t="s">
        <v>43</v>
      </c>
      <c r="H79" s="402">
        <v>0</v>
      </c>
      <c r="I79" s="351" t="s">
        <v>43</v>
      </c>
      <c r="J79" s="332" t="s">
        <v>43</v>
      </c>
      <c r="L79" s="173" t="s">
        <v>43</v>
      </c>
      <c r="M79" s="129" t="s">
        <v>43</v>
      </c>
      <c r="N79" s="172" t="s">
        <v>43</v>
      </c>
      <c r="O79" s="137">
        <f>0.1*O47</f>
        <v>50</v>
      </c>
      <c r="P79" s="129">
        <f>F79*O79</f>
        <v>15000</v>
      </c>
      <c r="Q79" s="172">
        <f>C79*O79</f>
        <v>15000</v>
      </c>
      <c r="R79" s="448" t="s">
        <v>43</v>
      </c>
      <c r="S79" s="449" t="s">
        <v>43</v>
      </c>
      <c r="T79" s="450" t="s">
        <v>43</v>
      </c>
      <c r="U79" s="451" t="s">
        <v>43</v>
      </c>
      <c r="V79" s="147" t="s">
        <v>97</v>
      </c>
    </row>
    <row r="80" spans="1:26" s="3" customFormat="1" x14ac:dyDescent="0.25">
      <c r="A80" s="385">
        <v>12</v>
      </c>
      <c r="B80" s="392" t="s">
        <v>62</v>
      </c>
      <c r="C80" s="388">
        <v>600</v>
      </c>
      <c r="D80" s="339" t="s">
        <v>43</v>
      </c>
      <c r="E80" s="348" t="s">
        <v>43</v>
      </c>
      <c r="F80" s="401" t="s">
        <v>43</v>
      </c>
      <c r="G80" s="327">
        <v>0</v>
      </c>
      <c r="H80" s="402" t="s">
        <v>43</v>
      </c>
      <c r="I80" s="351">
        <v>600</v>
      </c>
      <c r="J80" s="332">
        <v>0</v>
      </c>
      <c r="L80" s="173" t="s">
        <v>43</v>
      </c>
      <c r="M80" s="129" t="s">
        <v>43</v>
      </c>
      <c r="N80" s="172" t="s">
        <v>43</v>
      </c>
      <c r="O80" s="173" t="s">
        <v>43</v>
      </c>
      <c r="P80" s="129" t="s">
        <v>43</v>
      </c>
      <c r="Q80" s="172" t="s">
        <v>43</v>
      </c>
      <c r="R80" s="448">
        <f>0.1*R47</f>
        <v>50</v>
      </c>
      <c r="S80" s="449">
        <f>I80*R80</f>
        <v>30000</v>
      </c>
      <c r="T80" s="450" t="s">
        <v>43</v>
      </c>
      <c r="U80" s="451">
        <f>C80*R80</f>
        <v>30000</v>
      </c>
      <c r="V80" s="147" t="s">
        <v>97</v>
      </c>
      <c r="W80" s="1"/>
      <c r="X80" s="1"/>
      <c r="Y80" s="1"/>
      <c r="Z80" s="1"/>
    </row>
    <row r="81" spans="1:21" x14ac:dyDescent="0.25">
      <c r="A81" s="385">
        <v>13</v>
      </c>
      <c r="B81" s="385" t="s">
        <v>50</v>
      </c>
      <c r="C81" s="386" t="s">
        <v>43</v>
      </c>
      <c r="D81" s="339" t="s">
        <v>43</v>
      </c>
      <c r="E81" s="348" t="s">
        <v>52</v>
      </c>
      <c r="F81" s="343" t="s">
        <v>43</v>
      </c>
      <c r="G81" s="319" t="s">
        <v>43</v>
      </c>
      <c r="H81" s="402" t="s">
        <v>53</v>
      </c>
      <c r="I81" s="317" t="s">
        <v>43</v>
      </c>
      <c r="J81" s="332" t="s">
        <v>43</v>
      </c>
      <c r="L81" s="173" t="s">
        <v>43</v>
      </c>
      <c r="M81" s="129" t="s">
        <v>43</v>
      </c>
      <c r="N81" s="172" t="s">
        <v>43</v>
      </c>
      <c r="O81" s="173" t="s">
        <v>43</v>
      </c>
      <c r="P81" s="129" t="s">
        <v>43</v>
      </c>
      <c r="Q81" s="172" t="s">
        <v>43</v>
      </c>
      <c r="R81" s="448" t="s">
        <v>43</v>
      </c>
      <c r="S81" s="449" t="s">
        <v>43</v>
      </c>
      <c r="T81" s="450" t="s">
        <v>43</v>
      </c>
      <c r="U81" s="451" t="s">
        <v>43</v>
      </c>
    </row>
    <row r="82" spans="1:21" ht="16.5" thickBot="1" x14ac:dyDescent="0.3">
      <c r="A82" s="385">
        <v>14</v>
      </c>
      <c r="B82" s="385" t="s">
        <v>51</v>
      </c>
      <c r="C82" s="393" t="s">
        <v>43</v>
      </c>
      <c r="D82" s="349" t="s">
        <v>43</v>
      </c>
      <c r="E82" s="350" t="s">
        <v>53</v>
      </c>
      <c r="F82" s="403" t="s">
        <v>43</v>
      </c>
      <c r="G82" s="334" t="s">
        <v>43</v>
      </c>
      <c r="H82" s="404" t="s">
        <v>43</v>
      </c>
      <c r="I82" s="335" t="s">
        <v>43</v>
      </c>
      <c r="J82" s="336" t="s">
        <v>43</v>
      </c>
      <c r="L82" s="143" t="s">
        <v>43</v>
      </c>
      <c r="M82" s="144" t="s">
        <v>43</v>
      </c>
      <c r="N82" s="154" t="s">
        <v>43</v>
      </c>
      <c r="O82" s="143" t="s">
        <v>43</v>
      </c>
      <c r="P82" s="144" t="s">
        <v>43</v>
      </c>
      <c r="Q82" s="154" t="s">
        <v>43</v>
      </c>
      <c r="R82" s="468" t="s">
        <v>43</v>
      </c>
      <c r="S82" s="469" t="s">
        <v>43</v>
      </c>
      <c r="T82" s="470" t="s">
        <v>43</v>
      </c>
      <c r="U82" s="471" t="s">
        <v>43</v>
      </c>
    </row>
    <row r="83" spans="1:21" ht="16.5" thickBot="1" x14ac:dyDescent="0.3">
      <c r="L83" s="483"/>
      <c r="M83" s="484">
        <f>SUM(M66:M82)</f>
        <v>0</v>
      </c>
      <c r="N83" s="485">
        <f>SUM(N66:N82)</f>
        <v>0</v>
      </c>
      <c r="O83" s="483"/>
      <c r="P83" s="484">
        <f>SUM(P66:P82)</f>
        <v>5991600</v>
      </c>
      <c r="Q83" s="485">
        <f>SUM(Q66:Q82)</f>
        <v>6006600</v>
      </c>
      <c r="R83" s="487"/>
      <c r="S83" s="486">
        <f>SUM(S66:S82)</f>
        <v>46500</v>
      </c>
      <c r="T83" s="486">
        <f>SUM(T66:T82)</f>
        <v>1500</v>
      </c>
      <c r="U83" s="488">
        <f>SUM(U66:U82)</f>
        <v>60000</v>
      </c>
    </row>
    <row r="85" spans="1:21" x14ac:dyDescent="0.25">
      <c r="M85" s="157" t="s">
        <v>43</v>
      </c>
      <c r="P85" s="157">
        <f>P83/Q83</f>
        <v>0.99750274697832386</v>
      </c>
      <c r="S85" s="157">
        <f>(S83+T83)/U83</f>
        <v>0.8</v>
      </c>
      <c r="T85" s="157"/>
    </row>
    <row r="88" spans="1:21" x14ac:dyDescent="0.25">
      <c r="J88" s="1" t="s">
        <v>72</v>
      </c>
      <c r="M88" s="123">
        <f>M18+M42+M60+M83</f>
        <v>25377300</v>
      </c>
      <c r="N88" s="123">
        <f>N18+N42+N60+N83</f>
        <v>169182000</v>
      </c>
      <c r="P88" s="123">
        <f>P18+P42+P60+P83</f>
        <v>148126970</v>
      </c>
      <c r="Q88" s="123">
        <f>Q18+Q42+Q60+Q83</f>
        <v>163041300</v>
      </c>
      <c r="R88" s="123"/>
      <c r="S88" s="123">
        <f>S18+S42+S60+S83</f>
        <v>8691900</v>
      </c>
      <c r="T88" s="123"/>
      <c r="U88" s="123">
        <f>U18+U42+U60+U83</f>
        <v>1930964.9999999995</v>
      </c>
    </row>
    <row r="89" spans="1:21" x14ac:dyDescent="0.25">
      <c r="M89" s="1" t="s">
        <v>73</v>
      </c>
      <c r="P89" s="123">
        <f>P88-P38-P79</f>
        <v>146977970</v>
      </c>
      <c r="Q89" s="123">
        <f>Q88-Q38-Q79</f>
        <v>161892300</v>
      </c>
      <c r="S89" s="123">
        <f>S88-S29-S39-S70-S80</f>
        <v>5811900</v>
      </c>
      <c r="T89" s="123"/>
      <c r="U89" s="123">
        <f>U88-U29-U39-U70-U80</f>
        <v>-949035.00000000047</v>
      </c>
    </row>
    <row r="90" spans="1:21" x14ac:dyDescent="0.25">
      <c r="M90" s="1" t="s">
        <v>74</v>
      </c>
      <c r="N90" s="123"/>
      <c r="S90" s="123"/>
      <c r="T90" s="123"/>
    </row>
    <row r="91" spans="1:21" x14ac:dyDescent="0.25">
      <c r="M91" s="1" t="s">
        <v>75</v>
      </c>
      <c r="P91" s="123"/>
      <c r="U91" s="123"/>
    </row>
    <row r="93" spans="1:21" x14ac:dyDescent="0.25">
      <c r="M93" s="157">
        <f>M88/N88</f>
        <v>0.15</v>
      </c>
      <c r="P93" s="157">
        <f>P88/Q88</f>
        <v>0.90852422055025317</v>
      </c>
      <c r="S93" s="157">
        <f>S88/U88</f>
        <v>4.5013244673000301</v>
      </c>
      <c r="T93" s="157"/>
    </row>
  </sheetData>
  <pageMargins left="0.23622047244094491" right="0.15748031496062992" top="0.43307086614173229" bottom="0.27559055118110237" header="0.31496062992125984" footer="0.15748031496062992"/>
  <pageSetup paperSize="9" scale="75" orientation="landscape" r:id="rId1"/>
  <rowBreaks count="1" manualBreakCount="1">
    <brk id="45" max="23" man="1"/>
  </rowBreaks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4:H32"/>
  <sheetViews>
    <sheetView topLeftCell="A13" workbookViewId="0">
      <selection activeCell="J25" sqref="J25"/>
    </sheetView>
  </sheetViews>
  <sheetFormatPr defaultRowHeight="12.75" x14ac:dyDescent="0.2"/>
  <cols>
    <col min="2" max="2" width="12.42578125" customWidth="1"/>
    <col min="3" max="3" width="14.85546875" bestFit="1" customWidth="1"/>
    <col min="4" max="4" width="13.7109375" customWidth="1"/>
    <col min="5" max="5" width="12.42578125" bestFit="1" customWidth="1"/>
    <col min="6" max="6" width="10" bestFit="1" customWidth="1"/>
  </cols>
  <sheetData>
    <row r="4" spans="2:8" x14ac:dyDescent="0.2">
      <c r="B4" t="s">
        <v>137</v>
      </c>
    </row>
    <row r="7" spans="2:8" x14ac:dyDescent="0.2">
      <c r="B7" t="s">
        <v>140</v>
      </c>
    </row>
    <row r="8" spans="2:8" x14ac:dyDescent="0.2">
      <c r="C8" t="s">
        <v>149</v>
      </c>
      <c r="D8" t="s">
        <v>148</v>
      </c>
    </row>
    <row r="9" spans="2:8" x14ac:dyDescent="0.2">
      <c r="B9" t="s">
        <v>138</v>
      </c>
      <c r="C9" s="511">
        <v>0.67</v>
      </c>
      <c r="D9" s="512">
        <v>1675000</v>
      </c>
    </row>
    <row r="10" spans="2:8" x14ac:dyDescent="0.2">
      <c r="B10" t="s">
        <v>139</v>
      </c>
      <c r="C10" s="514">
        <v>0.33</v>
      </c>
      <c r="D10" s="515">
        <v>825000</v>
      </c>
    </row>
    <row r="11" spans="2:8" x14ac:dyDescent="0.2">
      <c r="C11" s="516">
        <f t="shared" ref="C11:D11" si="0">SUM(C9:C10)</f>
        <v>1</v>
      </c>
      <c r="D11" s="169">
        <f t="shared" si="0"/>
        <v>2500000</v>
      </c>
    </row>
    <row r="13" spans="2:8" x14ac:dyDescent="0.2">
      <c r="C13" s="649" t="s">
        <v>145</v>
      </c>
      <c r="D13" s="649"/>
    </row>
    <row r="14" spans="2:8" x14ac:dyDescent="0.2">
      <c r="C14" t="s">
        <v>147</v>
      </c>
      <c r="D14" t="s">
        <v>146</v>
      </c>
      <c r="E14" t="s">
        <v>148</v>
      </c>
      <c r="F14" t="s">
        <v>150</v>
      </c>
      <c r="G14" t="s">
        <v>151</v>
      </c>
      <c r="H14" t="s">
        <v>152</v>
      </c>
    </row>
    <row r="15" spans="2:8" x14ac:dyDescent="0.2">
      <c r="B15" t="s">
        <v>141</v>
      </c>
      <c r="C15" s="511">
        <v>0.4</v>
      </c>
      <c r="D15" s="512">
        <v>530</v>
      </c>
      <c r="E15" s="169">
        <f>D9*C15</f>
        <v>670000</v>
      </c>
      <c r="F15" s="518">
        <f>E15/D15</f>
        <v>1264.1509433962265</v>
      </c>
      <c r="G15" s="517">
        <f>F15/2</f>
        <v>632.07547169811323</v>
      </c>
      <c r="H15" s="517">
        <f>F15/3</f>
        <v>421.38364779874217</v>
      </c>
    </row>
    <row r="16" spans="2:8" x14ac:dyDescent="0.2">
      <c r="B16" t="s">
        <v>142</v>
      </c>
      <c r="C16" s="511">
        <v>0.3</v>
      </c>
      <c r="D16" s="512">
        <v>610</v>
      </c>
      <c r="E16" s="169">
        <f>D9*C16</f>
        <v>502500</v>
      </c>
      <c r="F16" s="518">
        <f t="shared" ref="F16:F18" si="1">E16/D16</f>
        <v>823.77049180327867</v>
      </c>
      <c r="G16" s="517">
        <f t="shared" ref="G16:G19" si="2">F16/2</f>
        <v>411.88524590163934</v>
      </c>
      <c r="H16" s="517">
        <f>F16/3</f>
        <v>274.59016393442624</v>
      </c>
    </row>
    <row r="17" spans="2:8" x14ac:dyDescent="0.2">
      <c r="B17" t="s">
        <v>143</v>
      </c>
      <c r="C17" s="511">
        <v>0.2</v>
      </c>
      <c r="D17" s="512">
        <v>650</v>
      </c>
      <c r="E17" s="169">
        <f>D9*C17</f>
        <v>335000</v>
      </c>
      <c r="F17" s="518">
        <f t="shared" si="1"/>
        <v>515.38461538461536</v>
      </c>
      <c r="G17" s="517">
        <f t="shared" si="2"/>
        <v>257.69230769230768</v>
      </c>
      <c r="H17" s="517">
        <f>F17/3</f>
        <v>171.7948717948718</v>
      </c>
    </row>
    <row r="18" spans="2:8" x14ac:dyDescent="0.2">
      <c r="B18" t="s">
        <v>144</v>
      </c>
      <c r="C18" s="511">
        <v>0.1</v>
      </c>
      <c r="D18" s="512">
        <v>770</v>
      </c>
      <c r="E18" s="171">
        <f>D9*C18</f>
        <v>167500</v>
      </c>
      <c r="F18" s="518">
        <f t="shared" si="1"/>
        <v>217.53246753246754</v>
      </c>
      <c r="G18" s="521">
        <f t="shared" si="2"/>
        <v>108.76623376623377</v>
      </c>
      <c r="H18" s="521">
        <f>F18/3</f>
        <v>72.510822510822507</v>
      </c>
    </row>
    <row r="19" spans="2:8" x14ac:dyDescent="0.2">
      <c r="C19" s="511"/>
      <c r="D19" s="512"/>
      <c r="E19" s="169">
        <f>SUM(E15:E18)</f>
        <v>1675000</v>
      </c>
      <c r="F19" s="519">
        <f>SUM(F15:F18)</f>
        <v>2820.8385181165877</v>
      </c>
      <c r="G19" s="517">
        <f t="shared" si="2"/>
        <v>1410.4192590582938</v>
      </c>
      <c r="H19" s="517">
        <f t="shared" ref="H19" si="3">F19/3</f>
        <v>940.27950603886256</v>
      </c>
    </row>
    <row r="20" spans="2:8" x14ac:dyDescent="0.2">
      <c r="C20" s="511"/>
      <c r="D20" s="512"/>
      <c r="E20" s="169"/>
      <c r="H20" s="517"/>
    </row>
    <row r="21" spans="2:8" x14ac:dyDescent="0.2">
      <c r="H21" s="517"/>
    </row>
    <row r="22" spans="2:8" x14ac:dyDescent="0.2">
      <c r="H22" s="517"/>
    </row>
    <row r="23" spans="2:8" x14ac:dyDescent="0.2">
      <c r="C23" s="649" t="s">
        <v>139</v>
      </c>
      <c r="D23" s="649"/>
      <c r="H23" s="517"/>
    </row>
    <row r="24" spans="2:8" x14ac:dyDescent="0.2">
      <c r="C24" t="s">
        <v>147</v>
      </c>
      <c r="D24" t="s">
        <v>146</v>
      </c>
      <c r="E24" t="s">
        <v>148</v>
      </c>
      <c r="F24" t="s">
        <v>150</v>
      </c>
      <c r="G24" t="s">
        <v>151</v>
      </c>
      <c r="H24" s="517" t="s">
        <v>152</v>
      </c>
    </row>
    <row r="25" spans="2:8" x14ac:dyDescent="0.2">
      <c r="B25" t="s">
        <v>141</v>
      </c>
      <c r="C25" s="511">
        <v>0.4</v>
      </c>
      <c r="D25" s="513">
        <v>800</v>
      </c>
      <c r="E25" s="169">
        <f>D10*C25</f>
        <v>330000</v>
      </c>
      <c r="F25" s="518">
        <v>412</v>
      </c>
      <c r="G25" s="517">
        <f>F25/2</f>
        <v>206</v>
      </c>
      <c r="H25" s="517">
        <f>F25/3</f>
        <v>137.33333333333334</v>
      </c>
    </row>
    <row r="26" spans="2:8" x14ac:dyDescent="0.2">
      <c r="B26" t="s">
        <v>142</v>
      </c>
      <c r="C26" s="511">
        <v>0.3</v>
      </c>
      <c r="D26" s="513">
        <v>880</v>
      </c>
      <c r="E26" s="169">
        <f>D10*C26</f>
        <v>247500</v>
      </c>
      <c r="F26" s="518">
        <f t="shared" ref="F26:F28" si="4">E26/D26</f>
        <v>281.25</v>
      </c>
      <c r="G26" s="517">
        <f t="shared" ref="G26:G29" si="5">F26/2</f>
        <v>140.625</v>
      </c>
      <c r="H26" s="517">
        <f>F26/3</f>
        <v>93.75</v>
      </c>
    </row>
    <row r="27" spans="2:8" x14ac:dyDescent="0.2">
      <c r="B27" t="s">
        <v>143</v>
      </c>
      <c r="C27" s="511">
        <v>0.2</v>
      </c>
      <c r="D27" s="513">
        <v>960</v>
      </c>
      <c r="E27" s="169">
        <f>D10*C27</f>
        <v>165000</v>
      </c>
      <c r="F27" s="518">
        <f t="shared" si="4"/>
        <v>171.875</v>
      </c>
      <c r="G27" s="517">
        <f t="shared" si="5"/>
        <v>85.9375</v>
      </c>
      <c r="H27" s="517">
        <f>F27/3</f>
        <v>57.291666666666664</v>
      </c>
    </row>
    <row r="28" spans="2:8" x14ac:dyDescent="0.2">
      <c r="B28" t="s">
        <v>144</v>
      </c>
      <c r="C28" s="511">
        <v>0.1</v>
      </c>
      <c r="D28" s="513">
        <v>1120</v>
      </c>
      <c r="E28" s="171">
        <f>D10*C28</f>
        <v>82500</v>
      </c>
      <c r="F28" s="520">
        <f t="shared" si="4"/>
        <v>73.660714285714292</v>
      </c>
      <c r="G28" s="521">
        <f>F28/2</f>
        <v>36.830357142857146</v>
      </c>
      <c r="H28" s="521">
        <f>F28/3</f>
        <v>24.553571428571431</v>
      </c>
    </row>
    <row r="29" spans="2:8" x14ac:dyDescent="0.2">
      <c r="E29" s="169">
        <f t="shared" ref="E29" si="6">SUM(E25:E28)</f>
        <v>825000</v>
      </c>
      <c r="F29" s="518">
        <f>SUM(F25:F28)</f>
        <v>938.78571428571433</v>
      </c>
      <c r="G29" s="517">
        <f t="shared" si="5"/>
        <v>469.39285714285717</v>
      </c>
      <c r="H29" s="517">
        <f t="shared" ref="H29" si="7">F29/3</f>
        <v>312.92857142857144</v>
      </c>
    </row>
    <row r="32" spans="2:8" x14ac:dyDescent="0.2">
      <c r="F32" s="517">
        <f>F19+F29</f>
        <v>3759.6242324023019</v>
      </c>
      <c r="G32" s="517">
        <f t="shared" ref="G32" si="8">G19+G29</f>
        <v>1879.812116201151</v>
      </c>
      <c r="H32" s="517">
        <f>H19+H29</f>
        <v>1253.2080774674341</v>
      </c>
    </row>
  </sheetData>
  <mergeCells count="2">
    <mergeCell ref="C13:D13"/>
    <mergeCell ref="C23:D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J109"/>
  <sheetViews>
    <sheetView view="pageBreakPreview" topLeftCell="A73" zoomScale="80" zoomScaleNormal="20" zoomScaleSheetLayoutView="80" workbookViewId="0">
      <selection activeCell="I15" sqref="I15"/>
    </sheetView>
  </sheetViews>
  <sheetFormatPr defaultRowHeight="15.75" x14ac:dyDescent="0.25"/>
  <cols>
    <col min="1" max="1" width="4.7109375" style="1" customWidth="1"/>
    <col min="2" max="2" width="38.85546875" style="1" bestFit="1" customWidth="1"/>
    <col min="3" max="3" width="14.7109375" style="1" bestFit="1" customWidth="1"/>
    <col min="4" max="4" width="12.140625" style="1" bestFit="1" customWidth="1"/>
    <col min="5" max="5" width="13.85546875" style="1" bestFit="1" customWidth="1"/>
    <col min="6" max="6" width="10" style="1" bestFit="1" customWidth="1"/>
    <col min="7" max="7" width="16.85546875" style="1" bestFit="1" customWidth="1"/>
    <col min="8" max="8" width="9.5703125" style="1" bestFit="1" customWidth="1"/>
    <col min="9" max="9" width="10.85546875" style="1" bestFit="1" customWidth="1"/>
    <col min="10" max="10" width="16.28515625" style="1" bestFit="1" customWidth="1"/>
    <col min="11" max="11" width="8.7109375" style="1" bestFit="1" customWidth="1"/>
    <col min="12" max="12" width="16.85546875" style="1" bestFit="1" customWidth="1"/>
    <col min="13" max="13" width="4.42578125" style="1" customWidth="1"/>
    <col min="14" max="14" width="8.7109375" style="1" bestFit="1" customWidth="1"/>
    <col min="15" max="15" width="16" style="1" bestFit="1" customWidth="1"/>
    <col min="16" max="16" width="17" style="1" bestFit="1" customWidth="1"/>
    <col min="17" max="17" width="8.7109375" style="1" bestFit="1" customWidth="1"/>
    <col min="18" max="19" width="17" style="1" bestFit="1" customWidth="1"/>
    <col min="20" max="20" width="8.7109375" style="1" bestFit="1" customWidth="1"/>
    <col min="21" max="22" width="15.7109375" style="1" bestFit="1" customWidth="1"/>
    <col min="23" max="23" width="17" style="1" bestFit="1" customWidth="1"/>
    <col min="24" max="24" width="8.7109375" style="1" bestFit="1" customWidth="1"/>
    <col min="25" max="26" width="15.7109375" style="1" bestFit="1" customWidth="1"/>
    <col min="27" max="27" width="14.5703125" style="1" customWidth="1"/>
    <col min="28" max="28" width="15.42578125" style="1" bestFit="1" customWidth="1"/>
    <col min="29" max="29" width="9.7109375" style="1" bestFit="1" customWidth="1"/>
    <col min="30" max="30" width="16.85546875" style="1" bestFit="1" customWidth="1"/>
    <col min="31" max="31" width="9.140625" style="1"/>
    <col min="32" max="32" width="10.42578125" style="1" bestFit="1" customWidth="1"/>
    <col min="33" max="33" width="31.140625" style="1" bestFit="1" customWidth="1"/>
    <col min="34" max="34" width="14.7109375" style="1" bestFit="1" customWidth="1"/>
    <col min="35" max="35" width="9.7109375" style="1" bestFit="1" customWidth="1"/>
    <col min="36" max="36" width="16.85546875" style="1" bestFit="1" customWidth="1"/>
    <col min="37" max="16384" width="9.140625" style="1"/>
  </cols>
  <sheetData>
    <row r="1" spans="1:36" x14ac:dyDescent="0.25">
      <c r="B1" s="39" t="s">
        <v>22</v>
      </c>
    </row>
    <row r="3" spans="1:36" x14ac:dyDescent="0.25">
      <c r="A3" s="11"/>
      <c r="B3" s="37" t="s">
        <v>20</v>
      </c>
      <c r="C3" s="12"/>
      <c r="D3" s="650" t="s">
        <v>156</v>
      </c>
      <c r="E3" s="650"/>
      <c r="F3" s="651" t="s">
        <v>155</v>
      </c>
      <c r="G3" s="651"/>
      <c r="H3" s="651" t="s">
        <v>154</v>
      </c>
      <c r="I3" s="651"/>
      <c r="J3" s="651"/>
      <c r="K3" s="651" t="s">
        <v>153</v>
      </c>
      <c r="L3" s="651"/>
      <c r="AF3" s="11"/>
      <c r="AG3" s="11"/>
      <c r="AH3" s="12"/>
      <c r="AI3" s="11"/>
      <c r="AJ3" s="11"/>
    </row>
    <row r="4" spans="1:36" ht="16.5" thickBot="1" x14ac:dyDescent="0.3">
      <c r="A4" s="3"/>
      <c r="B4" s="3"/>
      <c r="C4" s="71"/>
      <c r="D4" s="72">
        <v>0.15</v>
      </c>
      <c r="E4" s="72"/>
      <c r="F4" s="72">
        <v>0.35</v>
      </c>
      <c r="G4" s="523"/>
      <c r="H4" s="72">
        <v>0.1</v>
      </c>
      <c r="I4" s="72">
        <v>0.1</v>
      </c>
      <c r="J4" s="523"/>
      <c r="K4" s="72">
        <v>0.1</v>
      </c>
      <c r="L4" s="524"/>
      <c r="N4" s="510">
        <v>7000</v>
      </c>
      <c r="P4" s="101" t="s">
        <v>77</v>
      </c>
      <c r="Q4" s="510">
        <v>7000</v>
      </c>
      <c r="R4" s="101"/>
      <c r="S4" s="101" t="s">
        <v>102</v>
      </c>
      <c r="T4" s="510">
        <v>7000</v>
      </c>
      <c r="W4" s="101" t="s">
        <v>66</v>
      </c>
      <c r="X4" s="510">
        <v>7000</v>
      </c>
      <c r="Z4" s="128" t="s">
        <v>67</v>
      </c>
      <c r="AE4" s="11"/>
      <c r="AF4" s="12"/>
      <c r="AI4" s="19"/>
      <c r="AJ4" s="19"/>
    </row>
    <row r="5" spans="1:36" x14ac:dyDescent="0.25">
      <c r="A5" s="25"/>
      <c r="B5" s="9" t="s">
        <v>6</v>
      </c>
      <c r="C5" s="43" t="s">
        <v>36</v>
      </c>
      <c r="D5" s="46" t="s">
        <v>42</v>
      </c>
      <c r="E5" s="47" t="s">
        <v>37</v>
      </c>
      <c r="F5" s="46" t="s">
        <v>42</v>
      </c>
      <c r="G5" s="47" t="s">
        <v>38</v>
      </c>
      <c r="H5" s="46" t="s">
        <v>42</v>
      </c>
      <c r="I5" s="46" t="s">
        <v>103</v>
      </c>
      <c r="J5" s="47" t="s">
        <v>39</v>
      </c>
      <c r="K5" s="46" t="s">
        <v>42</v>
      </c>
      <c r="L5" s="47" t="s">
        <v>40</v>
      </c>
      <c r="N5" s="115" t="s">
        <v>64</v>
      </c>
      <c r="O5" s="135" t="s">
        <v>42</v>
      </c>
      <c r="P5" s="116" t="s">
        <v>65</v>
      </c>
      <c r="Q5" s="115" t="s">
        <v>64</v>
      </c>
      <c r="R5" s="135" t="s">
        <v>42</v>
      </c>
      <c r="S5" s="116" t="s">
        <v>65</v>
      </c>
      <c r="T5" s="115" t="s">
        <v>64</v>
      </c>
      <c r="U5" s="229" t="s">
        <v>42</v>
      </c>
      <c r="V5" s="221" t="s">
        <v>103</v>
      </c>
      <c r="W5" s="116" t="s">
        <v>65</v>
      </c>
      <c r="X5" s="115" t="s">
        <v>64</v>
      </c>
      <c r="Y5" s="135" t="s">
        <v>42</v>
      </c>
      <c r="Z5" s="116" t="s">
        <v>65</v>
      </c>
    </row>
    <row r="6" spans="1:36" x14ac:dyDescent="0.25">
      <c r="A6" s="14"/>
      <c r="B6" s="529" t="s">
        <v>14</v>
      </c>
      <c r="C6" s="530">
        <v>2400</v>
      </c>
      <c r="D6" s="69">
        <f>(C25)*D4</f>
        <v>330</v>
      </c>
      <c r="E6" s="74">
        <f>C6-D6</f>
        <v>2070</v>
      </c>
      <c r="F6" s="69">
        <f>((C25)*F4)+C28</f>
        <v>1320</v>
      </c>
      <c r="G6" s="74">
        <f>E6-F6</f>
        <v>750</v>
      </c>
      <c r="H6" s="69">
        <f>(C25-150)*H4</f>
        <v>205</v>
      </c>
      <c r="I6" s="69">
        <f>G6*I4</f>
        <v>75</v>
      </c>
      <c r="J6" s="74">
        <f>G6-H6-I6</f>
        <v>470</v>
      </c>
      <c r="K6" s="69">
        <f>(C25)*K4</f>
        <v>220</v>
      </c>
      <c r="L6" s="74">
        <f>J6-K6</f>
        <v>250</v>
      </c>
      <c r="N6" s="120">
        <v>7000</v>
      </c>
      <c r="O6" s="124">
        <f>D6*N6</f>
        <v>2310000</v>
      </c>
      <c r="P6" s="113">
        <f>C6*N6</f>
        <v>16800000</v>
      </c>
      <c r="Q6" s="120">
        <v>7000</v>
      </c>
      <c r="R6" s="124">
        <f>F6*Q6</f>
        <v>9240000</v>
      </c>
      <c r="S6" s="113">
        <f>E6*Q6</f>
        <v>14490000</v>
      </c>
      <c r="T6" s="120">
        <v>7000</v>
      </c>
      <c r="U6" s="230">
        <f>H6*T6</f>
        <v>1435000</v>
      </c>
      <c r="V6" s="236">
        <f>I6*T6</f>
        <v>525000</v>
      </c>
      <c r="W6" s="113">
        <f>G6*T6</f>
        <v>5250000</v>
      </c>
      <c r="X6" s="120">
        <v>7000</v>
      </c>
      <c r="Y6" s="124">
        <f>K6*X6</f>
        <v>1540000</v>
      </c>
      <c r="Z6" s="113">
        <f>X6*J6</f>
        <v>3290000</v>
      </c>
      <c r="AA6" s="525" t="s">
        <v>159</v>
      </c>
    </row>
    <row r="7" spans="1:36" x14ac:dyDescent="0.25">
      <c r="A7" s="23"/>
      <c r="B7" s="531" t="s">
        <v>11</v>
      </c>
      <c r="C7" s="87" t="str">
        <f>'[1]for Dist.'!C7</f>
        <v>Valued at 3,500</v>
      </c>
      <c r="D7" s="489"/>
      <c r="E7" s="55"/>
      <c r="F7" s="489">
        <f>C25*F4</f>
        <v>770</v>
      </c>
      <c r="G7" s="55"/>
      <c r="H7" s="54"/>
      <c r="I7" s="54"/>
      <c r="J7" s="55"/>
      <c r="K7" s="54"/>
      <c r="L7" s="55"/>
      <c r="N7" s="118"/>
      <c r="O7" s="492"/>
      <c r="P7" s="496"/>
      <c r="Q7" s="118"/>
      <c r="R7" s="492">
        <f>N6*F7</f>
        <v>5390000</v>
      </c>
      <c r="S7" s="111"/>
      <c r="T7" s="118"/>
      <c r="U7" s="231"/>
      <c r="V7" s="237"/>
      <c r="W7" s="111"/>
      <c r="X7" s="118"/>
      <c r="Y7" s="125"/>
      <c r="Z7" s="111"/>
    </row>
    <row r="8" spans="1:36" x14ac:dyDescent="0.25">
      <c r="A8" s="7"/>
      <c r="B8" s="21" t="s">
        <v>35</v>
      </c>
      <c r="C8" s="533" t="s">
        <v>99</v>
      </c>
      <c r="D8" s="491"/>
      <c r="E8" s="76"/>
      <c r="F8" s="491">
        <f>C28</f>
        <v>550</v>
      </c>
      <c r="G8" s="76"/>
      <c r="H8" s="70"/>
      <c r="I8" s="70"/>
      <c r="J8" s="76"/>
      <c r="K8" s="70"/>
      <c r="L8" s="76"/>
      <c r="N8" s="119"/>
      <c r="O8" s="493"/>
      <c r="P8" s="114"/>
      <c r="Q8" s="119"/>
      <c r="R8" s="493">
        <f>Q6*F8</f>
        <v>3850000</v>
      </c>
      <c r="S8" s="114"/>
      <c r="T8" s="119"/>
      <c r="U8" s="232"/>
      <c r="V8" s="238"/>
      <c r="W8" s="114"/>
      <c r="X8" s="119"/>
      <c r="Y8" s="126"/>
      <c r="Z8" s="114"/>
    </row>
    <row r="9" spans="1:36" x14ac:dyDescent="0.25">
      <c r="A9" s="20"/>
      <c r="B9" s="20"/>
      <c r="C9" s="614"/>
      <c r="D9" s="615"/>
      <c r="E9" s="218"/>
      <c r="F9" s="615"/>
      <c r="G9" s="218"/>
      <c r="H9" s="218"/>
      <c r="I9" s="218"/>
      <c r="J9" s="218"/>
      <c r="K9" s="218"/>
      <c r="L9" s="218"/>
      <c r="N9" s="539"/>
      <c r="O9" s="615"/>
      <c r="P9" s="11"/>
      <c r="Q9" s="539"/>
      <c r="R9" s="615"/>
      <c r="S9" s="11"/>
      <c r="T9" s="539"/>
      <c r="U9" s="12"/>
      <c r="V9" s="12"/>
      <c r="W9" s="11"/>
      <c r="X9" s="539"/>
      <c r="Y9" s="12"/>
      <c r="Z9" s="11"/>
    </row>
    <row r="10" spans="1:36" x14ac:dyDescent="0.25">
      <c r="A10" s="20"/>
      <c r="B10" s="20"/>
      <c r="C10" s="614"/>
      <c r="D10" s="615"/>
      <c r="E10" s="218"/>
      <c r="F10" s="615"/>
      <c r="G10" s="218"/>
      <c r="H10" s="218"/>
      <c r="I10" s="218"/>
      <c r="J10" s="218"/>
      <c r="K10" s="218"/>
      <c r="L10" s="218"/>
      <c r="N10" s="539"/>
      <c r="O10" s="615"/>
      <c r="P10" s="11"/>
      <c r="Q10" s="539"/>
      <c r="R10" s="615"/>
      <c r="S10" s="11"/>
      <c r="T10" s="539"/>
      <c r="U10" s="12"/>
      <c r="V10" s="12"/>
      <c r="W10" s="11"/>
      <c r="X10" s="539"/>
      <c r="Y10" s="12"/>
      <c r="Z10" s="11"/>
    </row>
    <row r="11" spans="1:36" x14ac:dyDescent="0.25">
      <c r="A11" s="20"/>
      <c r="B11" s="20"/>
      <c r="C11" s="614"/>
      <c r="D11" s="615"/>
      <c r="E11" s="218"/>
      <c r="F11" s="615"/>
      <c r="G11" s="218"/>
      <c r="H11" s="218"/>
      <c r="I11" s="218"/>
      <c r="J11" s="218"/>
      <c r="K11" s="218"/>
      <c r="L11" s="218"/>
      <c r="N11" s="539"/>
      <c r="O11" s="615"/>
      <c r="P11" s="11"/>
      <c r="Q11" s="539"/>
      <c r="R11" s="615"/>
      <c r="S11" s="11"/>
      <c r="T11" s="539"/>
      <c r="U11" s="12"/>
      <c r="V11" s="12"/>
      <c r="W11" s="11"/>
      <c r="X11" s="539"/>
      <c r="Y11" s="12"/>
      <c r="Z11" s="11"/>
    </row>
    <row r="12" spans="1:36" x14ac:dyDescent="0.25">
      <c r="A12" s="20"/>
      <c r="B12" s="20"/>
      <c r="C12" s="614"/>
      <c r="D12" s="615"/>
      <c r="E12" s="218"/>
      <c r="F12" s="615"/>
      <c r="G12" s="218"/>
      <c r="H12" s="218"/>
      <c r="I12" s="218"/>
      <c r="J12" s="218"/>
      <c r="K12" s="218"/>
      <c r="L12" s="218"/>
      <c r="N12" s="539"/>
      <c r="O12" s="615"/>
      <c r="P12" s="11"/>
      <c r="Q12" s="539"/>
      <c r="R12" s="615"/>
      <c r="S12" s="11"/>
      <c r="T12" s="539"/>
      <c r="U12" s="12"/>
      <c r="V12" s="12"/>
      <c r="W12" s="11"/>
      <c r="X12" s="539"/>
      <c r="Y12" s="12"/>
      <c r="Z12" s="11"/>
    </row>
    <row r="13" spans="1:36" x14ac:dyDescent="0.25">
      <c r="A13" s="20"/>
      <c r="B13" s="20"/>
      <c r="C13" s="614"/>
      <c r="D13" s="615"/>
      <c r="E13" s="218"/>
      <c r="F13" s="615"/>
      <c r="G13" s="218"/>
      <c r="H13" s="218"/>
      <c r="I13" s="218"/>
      <c r="J13" s="218"/>
      <c r="K13" s="218"/>
      <c r="L13" s="218"/>
      <c r="N13" s="539"/>
      <c r="O13" s="615"/>
      <c r="P13" s="11"/>
      <c r="Q13" s="539"/>
      <c r="R13" s="615"/>
      <c r="S13" s="11"/>
      <c r="T13" s="539"/>
      <c r="U13" s="12"/>
      <c r="V13" s="12"/>
      <c r="W13" s="11"/>
      <c r="X13" s="539"/>
      <c r="Y13" s="12"/>
      <c r="Z13" s="11"/>
    </row>
    <row r="14" spans="1:36" x14ac:dyDescent="0.25">
      <c r="A14" s="20"/>
      <c r="B14" s="20"/>
      <c r="C14" s="614"/>
      <c r="D14" s="615"/>
      <c r="E14" s="218"/>
      <c r="F14" s="615"/>
      <c r="G14" s="218"/>
      <c r="H14" s="218"/>
      <c r="I14" s="218"/>
      <c r="J14" s="218"/>
      <c r="K14" s="218"/>
      <c r="L14" s="218"/>
      <c r="N14" s="539"/>
      <c r="O14" s="615"/>
      <c r="P14" s="11"/>
      <c r="Q14" s="539"/>
      <c r="R14" s="615"/>
      <c r="S14" s="11"/>
      <c r="T14" s="539"/>
      <c r="U14" s="12"/>
      <c r="V14" s="12"/>
      <c r="W14" s="11"/>
      <c r="X14" s="539"/>
      <c r="Y14" s="12"/>
      <c r="Z14" s="11"/>
    </row>
    <row r="15" spans="1:36" x14ac:dyDescent="0.25">
      <c r="A15" s="20"/>
      <c r="B15" s="20"/>
      <c r="C15" s="614"/>
      <c r="D15" s="615"/>
      <c r="E15" s="218"/>
      <c r="F15" s="615"/>
      <c r="G15" s="218"/>
      <c r="H15" s="218"/>
      <c r="I15" s="218"/>
      <c r="J15" s="218"/>
      <c r="K15" s="218"/>
      <c r="L15" s="218"/>
      <c r="N15" s="539"/>
      <c r="O15" s="615"/>
      <c r="P15" s="11"/>
      <c r="Q15" s="539"/>
      <c r="R15" s="615"/>
      <c r="S15" s="11"/>
      <c r="T15" s="539"/>
      <c r="U15" s="12"/>
      <c r="V15" s="12"/>
      <c r="W15" s="11"/>
      <c r="X15" s="539"/>
      <c r="Y15" s="12"/>
      <c r="Z15" s="11"/>
    </row>
    <row r="16" spans="1:36" x14ac:dyDescent="0.25">
      <c r="A16" s="20"/>
      <c r="B16" s="20"/>
      <c r="C16" s="614"/>
      <c r="D16" s="615"/>
      <c r="E16" s="218"/>
      <c r="F16" s="615"/>
      <c r="G16" s="218"/>
      <c r="H16" s="218"/>
      <c r="I16" s="218"/>
      <c r="J16" s="218"/>
      <c r="K16" s="218"/>
      <c r="L16" s="218"/>
      <c r="N16" s="539"/>
      <c r="O16" s="615"/>
      <c r="P16" s="11"/>
      <c r="Q16" s="539"/>
      <c r="R16" s="615"/>
      <c r="S16" s="11"/>
      <c r="T16" s="539"/>
      <c r="U16" s="12"/>
      <c r="V16" s="12"/>
      <c r="W16" s="11"/>
      <c r="X16" s="539"/>
      <c r="Y16" s="12"/>
      <c r="Z16" s="11"/>
    </row>
    <row r="17" spans="1:27" x14ac:dyDescent="0.25">
      <c r="A17" s="11"/>
      <c r="B17" s="20"/>
      <c r="C17" s="12"/>
      <c r="D17" s="12"/>
      <c r="E17" s="11"/>
      <c r="F17" s="11"/>
      <c r="G17" s="11"/>
      <c r="H17" s="11"/>
      <c r="I17" s="11"/>
      <c r="J17" s="11"/>
      <c r="K17" s="11"/>
      <c r="L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7" x14ac:dyDescent="0.25">
      <c r="N18" s="123"/>
      <c r="O18" s="123">
        <f>O6</f>
        <v>2310000</v>
      </c>
      <c r="P18" s="123">
        <f>P6</f>
        <v>16800000</v>
      </c>
      <c r="Q18" s="123"/>
      <c r="R18" s="123">
        <f>R6</f>
        <v>9240000</v>
      </c>
      <c r="S18" s="123">
        <f>SUM(S6:S17)</f>
        <v>14490000</v>
      </c>
      <c r="T18" s="123"/>
      <c r="U18" s="123">
        <f>SUM(U6:U17)</f>
        <v>1435000</v>
      </c>
      <c r="V18" s="123">
        <f>SUM(V6:V17)</f>
        <v>525000</v>
      </c>
      <c r="W18" s="123">
        <f>SUM(W6:W17)</f>
        <v>5250000</v>
      </c>
      <c r="X18" s="123"/>
      <c r="Y18" s="123">
        <f>SUM(Y6:Y17)</f>
        <v>1540000</v>
      </c>
      <c r="Z18" s="123">
        <f>SUM(Z6:Z17)</f>
        <v>3290000</v>
      </c>
    </row>
    <row r="19" spans="1:27" x14ac:dyDescent="0.25"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7" x14ac:dyDescent="0.25">
      <c r="N20" s="123"/>
      <c r="O20" s="157">
        <f>O18/P18</f>
        <v>0.13750000000000001</v>
      </c>
      <c r="R20" s="157">
        <f>R18/S18</f>
        <v>0.6376811594202898</v>
      </c>
      <c r="U20" s="157">
        <f>(U18+V18)/W18</f>
        <v>0.37333333333333335</v>
      </c>
      <c r="V20" s="157"/>
      <c r="Y20" s="157">
        <f>Y18/Z18</f>
        <v>0.46808510638297873</v>
      </c>
      <c r="Z20" s="123"/>
    </row>
    <row r="21" spans="1:27" x14ac:dyDescent="0.25"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7" x14ac:dyDescent="0.25">
      <c r="B22" s="39" t="s">
        <v>46</v>
      </c>
    </row>
    <row r="23" spans="1:27" ht="16.5" thickBot="1" x14ac:dyDescent="0.3">
      <c r="A23" s="3"/>
      <c r="B23" s="3"/>
      <c r="C23" s="3"/>
      <c r="D23" s="42">
        <v>0.15</v>
      </c>
      <c r="E23" s="3"/>
      <c r="F23" s="42">
        <v>0.35</v>
      </c>
      <c r="G23" s="3"/>
      <c r="H23" s="42">
        <v>0.1</v>
      </c>
      <c r="I23" s="42">
        <v>0.1</v>
      </c>
      <c r="J23" s="42"/>
      <c r="K23" s="42">
        <v>0.1</v>
      </c>
      <c r="L23" s="3"/>
      <c r="P23" s="101" t="s">
        <v>77</v>
      </c>
      <c r="S23" s="101" t="s">
        <v>102</v>
      </c>
      <c r="W23" s="101" t="s">
        <v>66</v>
      </c>
      <c r="Z23" s="128" t="s">
        <v>67</v>
      </c>
    </row>
    <row r="24" spans="1:27" s="3" customFormat="1" ht="15" x14ac:dyDescent="0.25">
      <c r="A24" s="9"/>
      <c r="B24" s="9" t="s">
        <v>6</v>
      </c>
      <c r="C24" s="43" t="s">
        <v>36</v>
      </c>
      <c r="D24" s="46" t="s">
        <v>42</v>
      </c>
      <c r="E24" s="47" t="s">
        <v>37</v>
      </c>
      <c r="F24" s="46" t="s">
        <v>42</v>
      </c>
      <c r="G24" s="47" t="s">
        <v>38</v>
      </c>
      <c r="H24" s="46" t="s">
        <v>42</v>
      </c>
      <c r="I24" s="46" t="s">
        <v>103</v>
      </c>
      <c r="J24" s="47" t="s">
        <v>39</v>
      </c>
      <c r="K24" s="68" t="s">
        <v>42</v>
      </c>
      <c r="L24" s="47" t="s">
        <v>40</v>
      </c>
      <c r="N24" s="115" t="s">
        <v>68</v>
      </c>
      <c r="O24" s="135" t="s">
        <v>42</v>
      </c>
      <c r="P24" s="526" t="s">
        <v>65</v>
      </c>
      <c r="Q24" s="115" t="s">
        <v>68</v>
      </c>
      <c r="R24" s="135" t="s">
        <v>42</v>
      </c>
      <c r="S24" s="116" t="s">
        <v>65</v>
      </c>
      <c r="T24" s="115" t="s">
        <v>68</v>
      </c>
      <c r="U24" s="229" t="s">
        <v>42</v>
      </c>
      <c r="V24" s="221" t="s">
        <v>103</v>
      </c>
      <c r="W24" s="116" t="s">
        <v>65</v>
      </c>
      <c r="X24" s="115" t="s">
        <v>76</v>
      </c>
      <c r="Y24" s="135" t="s">
        <v>42</v>
      </c>
      <c r="Z24" s="116" t="s">
        <v>65</v>
      </c>
    </row>
    <row r="25" spans="1:27" s="3" customFormat="1" x14ac:dyDescent="0.25">
      <c r="A25" s="7">
        <v>1</v>
      </c>
      <c r="B25" s="30" t="s">
        <v>41</v>
      </c>
      <c r="C25" s="57">
        <v>2200</v>
      </c>
      <c r="D25" s="61">
        <f>C25*D23</f>
        <v>330</v>
      </c>
      <c r="E25" s="49">
        <f>C25-D25</f>
        <v>1870</v>
      </c>
      <c r="F25" s="48">
        <f>C25*F23</f>
        <v>770</v>
      </c>
      <c r="G25" s="49">
        <f>E25-F25</f>
        <v>1100</v>
      </c>
      <c r="H25" s="48">
        <f>C25*H23</f>
        <v>220</v>
      </c>
      <c r="I25" s="48">
        <f>G25*I23</f>
        <v>110</v>
      </c>
      <c r="J25" s="49">
        <f>G25-H25-I25</f>
        <v>770</v>
      </c>
      <c r="K25" s="81">
        <f>C25*K23</f>
        <v>220</v>
      </c>
      <c r="L25" s="49">
        <f>J25-K25</f>
        <v>550</v>
      </c>
      <c r="N25" s="127">
        <v>0</v>
      </c>
      <c r="O25" s="124">
        <f>E25*N25</f>
        <v>0</v>
      </c>
      <c r="P25" s="527">
        <v>0</v>
      </c>
      <c r="Q25" s="127">
        <v>0</v>
      </c>
      <c r="R25" s="124">
        <f>H25*Q25</f>
        <v>0</v>
      </c>
      <c r="S25" s="113">
        <v>0</v>
      </c>
      <c r="T25" s="127">
        <v>0</v>
      </c>
      <c r="U25" s="230">
        <f>H25*T25</f>
        <v>0</v>
      </c>
      <c r="V25" s="236">
        <v>0</v>
      </c>
      <c r="W25" s="113">
        <f>E25*T25</f>
        <v>0</v>
      </c>
      <c r="X25" s="117">
        <v>0</v>
      </c>
      <c r="Y25" s="124">
        <v>0</v>
      </c>
      <c r="Z25" s="113">
        <f>X25*L25</f>
        <v>0</v>
      </c>
    </row>
    <row r="26" spans="1:27" s="3" customFormat="1" x14ac:dyDescent="0.25">
      <c r="A26" s="7">
        <v>2</v>
      </c>
      <c r="B26" s="41" t="s">
        <v>0</v>
      </c>
      <c r="C26" s="58">
        <f>'for Dist.'!C24</f>
        <v>200</v>
      </c>
      <c r="D26" s="536" t="s">
        <v>43</v>
      </c>
      <c r="E26" s="535" t="s">
        <v>43</v>
      </c>
      <c r="F26" s="50">
        <v>200</v>
      </c>
      <c r="G26" s="51">
        <v>0</v>
      </c>
      <c r="H26" s="50" t="s">
        <v>43</v>
      </c>
      <c r="I26" s="522" t="s">
        <v>43</v>
      </c>
      <c r="J26" s="51" t="s">
        <v>43</v>
      </c>
      <c r="K26" s="82" t="s">
        <v>43</v>
      </c>
      <c r="L26" s="51" t="s">
        <v>43</v>
      </c>
      <c r="N26" s="137" t="s">
        <v>43</v>
      </c>
      <c r="O26" s="129" t="s">
        <v>43</v>
      </c>
      <c r="P26" s="225" t="s">
        <v>43</v>
      </c>
      <c r="Q26" s="137">
        <v>700</v>
      </c>
      <c r="R26" s="129">
        <f>F26*Q26</f>
        <v>140000</v>
      </c>
      <c r="S26" s="129">
        <f>F26*Q26</f>
        <v>140000</v>
      </c>
      <c r="T26" s="137" t="s">
        <v>43</v>
      </c>
      <c r="U26" s="225" t="s">
        <v>43</v>
      </c>
      <c r="V26" s="248" t="s">
        <v>43</v>
      </c>
      <c r="W26" s="245" t="s">
        <v>43</v>
      </c>
      <c r="X26" s="137" t="s">
        <v>43</v>
      </c>
      <c r="Y26" s="129" t="s">
        <v>43</v>
      </c>
      <c r="Z26" s="138" t="s">
        <v>43</v>
      </c>
      <c r="AA26" s="525" t="s">
        <v>158</v>
      </c>
    </row>
    <row r="27" spans="1:27" s="3" customFormat="1" x14ac:dyDescent="0.25">
      <c r="A27" s="5">
        <v>3</v>
      </c>
      <c r="B27" s="41" t="s">
        <v>24</v>
      </c>
      <c r="C27" s="44">
        <f>'for Dist.'!C25</f>
        <v>500</v>
      </c>
      <c r="D27" s="61">
        <f>C27*D23</f>
        <v>75</v>
      </c>
      <c r="E27" s="49">
        <f>C27-D27</f>
        <v>425</v>
      </c>
      <c r="F27" s="48">
        <f>C27*F23</f>
        <v>175</v>
      </c>
      <c r="G27" s="49">
        <f>E27-F27</f>
        <v>250</v>
      </c>
      <c r="H27" s="48">
        <f>C27*H23</f>
        <v>50</v>
      </c>
      <c r="I27" s="48">
        <f>G27*I23</f>
        <v>25</v>
      </c>
      <c r="J27" s="49">
        <f>G27-H27-I27</f>
        <v>175</v>
      </c>
      <c r="K27" s="81">
        <f>C27*K23</f>
        <v>50</v>
      </c>
      <c r="L27" s="49">
        <f>J27-K27</f>
        <v>125</v>
      </c>
      <c r="N27" s="137">
        <v>700</v>
      </c>
      <c r="O27" s="129">
        <f>D27*N27</f>
        <v>52500</v>
      </c>
      <c r="P27" s="225">
        <f>C27*N27</f>
        <v>350000</v>
      </c>
      <c r="Q27" s="137">
        <v>700</v>
      </c>
      <c r="R27" s="129">
        <f>F27*N27</f>
        <v>122500</v>
      </c>
      <c r="S27" s="148">
        <f>E27*Q27</f>
        <v>297500</v>
      </c>
      <c r="T27" s="137">
        <v>700</v>
      </c>
      <c r="U27" s="225">
        <f>H27*T27</f>
        <v>35000</v>
      </c>
      <c r="V27" s="248">
        <f>I27*T27</f>
        <v>17500</v>
      </c>
      <c r="W27" s="245">
        <f>G27*T27</f>
        <v>175000</v>
      </c>
      <c r="X27" s="137">
        <v>700</v>
      </c>
      <c r="Y27" s="129">
        <f>K27*X27</f>
        <v>35000</v>
      </c>
      <c r="Z27" s="148">
        <f>J27*X27</f>
        <v>122500</v>
      </c>
      <c r="AA27" s="525" t="s">
        <v>158</v>
      </c>
    </row>
    <row r="28" spans="1:27" s="3" customFormat="1" x14ac:dyDescent="0.25">
      <c r="A28" s="24">
        <v>4</v>
      </c>
      <c r="B28" s="5" t="s">
        <v>55</v>
      </c>
      <c r="C28" s="59">
        <f>'for Dist.'!C27</f>
        <v>550</v>
      </c>
      <c r="D28" s="534" t="s">
        <v>43</v>
      </c>
      <c r="E28" s="535" t="s">
        <v>43</v>
      </c>
      <c r="F28" s="50">
        <v>350</v>
      </c>
      <c r="G28" s="51">
        <v>0</v>
      </c>
      <c r="H28" s="50" t="s">
        <v>43</v>
      </c>
      <c r="I28" s="220" t="s">
        <v>43</v>
      </c>
      <c r="J28" s="51" t="s">
        <v>43</v>
      </c>
      <c r="K28" s="82" t="s">
        <v>43</v>
      </c>
      <c r="L28" s="51" t="s">
        <v>43</v>
      </c>
      <c r="N28" s="137" t="s">
        <v>43</v>
      </c>
      <c r="O28" s="129" t="s">
        <v>43</v>
      </c>
      <c r="P28" s="225" t="s">
        <v>43</v>
      </c>
      <c r="Q28" s="137" t="s">
        <v>43</v>
      </c>
      <c r="R28" s="129" t="s">
        <v>43</v>
      </c>
      <c r="S28" s="148" t="s">
        <v>43</v>
      </c>
      <c r="T28" s="137" t="s">
        <v>43</v>
      </c>
      <c r="U28" s="225" t="s">
        <v>43</v>
      </c>
      <c r="V28" s="248" t="s">
        <v>43</v>
      </c>
      <c r="W28" s="172" t="s">
        <v>43</v>
      </c>
      <c r="X28" s="137" t="s">
        <v>43</v>
      </c>
      <c r="Y28" s="129" t="s">
        <v>43</v>
      </c>
      <c r="Z28" s="148" t="s">
        <v>43</v>
      </c>
      <c r="AA28" s="147"/>
    </row>
    <row r="29" spans="1:27" s="3" customFormat="1" x14ac:dyDescent="0.25">
      <c r="A29" s="24">
        <v>5</v>
      </c>
      <c r="B29" s="98" t="s">
        <v>58</v>
      </c>
      <c r="C29" s="59">
        <v>150</v>
      </c>
      <c r="D29" s="100" t="s">
        <v>43</v>
      </c>
      <c r="E29" s="99" t="s">
        <v>43</v>
      </c>
      <c r="F29" s="100" t="s">
        <v>43</v>
      </c>
      <c r="G29" s="99" t="s">
        <v>43</v>
      </c>
      <c r="H29" s="50">
        <v>150</v>
      </c>
      <c r="I29" s="220" t="s">
        <v>43</v>
      </c>
      <c r="J29" s="51">
        <v>0</v>
      </c>
      <c r="K29" s="106" t="s">
        <v>43</v>
      </c>
      <c r="L29" s="99" t="s">
        <v>43</v>
      </c>
      <c r="N29" s="137" t="s">
        <v>43</v>
      </c>
      <c r="O29" s="129" t="s">
        <v>43</v>
      </c>
      <c r="P29" s="225" t="s">
        <v>43</v>
      </c>
      <c r="Q29" s="137" t="s">
        <v>43</v>
      </c>
      <c r="R29" s="129" t="s">
        <v>43</v>
      </c>
      <c r="S29" s="148" t="s">
        <v>43</v>
      </c>
      <c r="T29" s="137">
        <v>700</v>
      </c>
      <c r="U29" s="225">
        <f>H29*T29</f>
        <v>105000</v>
      </c>
      <c r="V29" s="248" t="s">
        <v>43</v>
      </c>
      <c r="W29" s="245">
        <f>C29*T29</f>
        <v>105000</v>
      </c>
      <c r="X29" s="137" t="s">
        <v>43</v>
      </c>
      <c r="Y29" s="129" t="s">
        <v>43</v>
      </c>
      <c r="Z29" s="148" t="s">
        <v>43</v>
      </c>
      <c r="AA29" s="525" t="s">
        <v>158</v>
      </c>
    </row>
    <row r="30" spans="1:27" s="3" customFormat="1" x14ac:dyDescent="0.25">
      <c r="A30" s="14">
        <v>6</v>
      </c>
      <c r="B30" s="5" t="s">
        <v>8</v>
      </c>
      <c r="C30" s="59">
        <f>'for Dist.'!C28</f>
        <v>280</v>
      </c>
      <c r="D30" s="534" t="s">
        <v>43</v>
      </c>
      <c r="E30" s="51">
        <v>0</v>
      </c>
      <c r="F30" s="50">
        <v>180</v>
      </c>
      <c r="G30" s="51" t="s">
        <v>43</v>
      </c>
      <c r="H30" s="50" t="s">
        <v>43</v>
      </c>
      <c r="I30" s="220" t="s">
        <v>43</v>
      </c>
      <c r="J30" s="51" t="s">
        <v>43</v>
      </c>
      <c r="K30" s="82" t="s">
        <v>43</v>
      </c>
      <c r="L30" s="51" t="s">
        <v>43</v>
      </c>
      <c r="N30" s="140" t="s">
        <v>43</v>
      </c>
      <c r="O30" s="129" t="s">
        <v>43</v>
      </c>
      <c r="P30" s="225" t="s">
        <v>43</v>
      </c>
      <c r="Q30" s="137">
        <v>700</v>
      </c>
      <c r="R30" s="129">
        <f>F30*Q30</f>
        <v>126000</v>
      </c>
      <c r="S30" s="129">
        <f>F30*Q30</f>
        <v>126000</v>
      </c>
      <c r="T30" s="140" t="s">
        <v>43</v>
      </c>
      <c r="U30" s="226" t="s">
        <v>43</v>
      </c>
      <c r="V30" s="249" t="s">
        <v>43</v>
      </c>
      <c r="W30" s="246" t="s">
        <v>43</v>
      </c>
      <c r="X30" s="137" t="s">
        <v>43</v>
      </c>
      <c r="Y30" s="129" t="s">
        <v>43</v>
      </c>
      <c r="Z30" s="148" t="s">
        <v>43</v>
      </c>
      <c r="AA30" s="525" t="s">
        <v>158</v>
      </c>
    </row>
    <row r="31" spans="1:27" s="3" customFormat="1" x14ac:dyDescent="0.25">
      <c r="A31" s="24">
        <v>7</v>
      </c>
      <c r="B31" s="5" t="s">
        <v>26</v>
      </c>
      <c r="C31" s="60">
        <f>'for Dist.'!C29</f>
        <v>50</v>
      </c>
      <c r="D31" s="538" t="s">
        <v>43</v>
      </c>
      <c r="E31" s="51" t="s">
        <v>43</v>
      </c>
      <c r="F31" s="82">
        <v>50</v>
      </c>
      <c r="G31" s="107" t="s">
        <v>43</v>
      </c>
      <c r="H31" s="100" t="s">
        <v>43</v>
      </c>
      <c r="I31" s="220" t="s">
        <v>43</v>
      </c>
      <c r="J31" s="99" t="s">
        <v>43</v>
      </c>
      <c r="K31" s="106" t="s">
        <v>63</v>
      </c>
      <c r="L31" s="99" t="s">
        <v>63</v>
      </c>
      <c r="N31" s="140" t="s">
        <v>43</v>
      </c>
      <c r="O31" s="129" t="s">
        <v>43</v>
      </c>
      <c r="P31" s="225" t="s">
        <v>43</v>
      </c>
      <c r="Q31" s="137">
        <v>700</v>
      </c>
      <c r="R31" s="129">
        <f>F31*Q31</f>
        <v>35000</v>
      </c>
      <c r="S31" s="129">
        <f>F31*Q31</f>
        <v>35000</v>
      </c>
      <c r="T31" s="140" t="s">
        <v>43</v>
      </c>
      <c r="U31" s="227" t="s">
        <v>43</v>
      </c>
      <c r="V31" s="250" t="s">
        <v>43</v>
      </c>
      <c r="W31" s="149" t="s">
        <v>43</v>
      </c>
      <c r="X31" s="137" t="s">
        <v>43</v>
      </c>
      <c r="Y31" s="129" t="s">
        <v>43</v>
      </c>
      <c r="Z31" s="148" t="s">
        <v>43</v>
      </c>
      <c r="AA31" s="525" t="s">
        <v>158</v>
      </c>
    </row>
    <row r="32" spans="1:27" s="3" customFormat="1" x14ac:dyDescent="0.25">
      <c r="A32" s="24">
        <v>8</v>
      </c>
      <c r="B32" s="14" t="s">
        <v>9</v>
      </c>
      <c r="C32" s="57">
        <f>'for Dist.'!C30</f>
        <v>1440</v>
      </c>
      <c r="D32" s="537" t="s">
        <v>43</v>
      </c>
      <c r="E32" s="63">
        <v>0</v>
      </c>
      <c r="F32" s="52">
        <v>450</v>
      </c>
      <c r="G32" s="53" t="s">
        <v>43</v>
      </c>
      <c r="H32" s="52" t="s">
        <v>43</v>
      </c>
      <c r="I32" s="243" t="s">
        <v>43</v>
      </c>
      <c r="J32" s="53" t="s">
        <v>43</v>
      </c>
      <c r="K32" s="83" t="s">
        <v>43</v>
      </c>
      <c r="L32" s="53" t="s">
        <v>43</v>
      </c>
      <c r="N32" s="140" t="s">
        <v>43</v>
      </c>
      <c r="O32" s="131" t="s">
        <v>43</v>
      </c>
      <c r="P32" s="133" t="s">
        <v>43</v>
      </c>
      <c r="Q32" s="120">
        <v>700</v>
      </c>
      <c r="R32" s="131">
        <f>F32*Q32</f>
        <v>315000</v>
      </c>
      <c r="S32" s="131">
        <f>F32*Q32</f>
        <v>315000</v>
      </c>
      <c r="T32" s="140" t="s">
        <v>43</v>
      </c>
      <c r="U32" s="133" t="s">
        <v>43</v>
      </c>
      <c r="V32" s="250" t="s">
        <v>43</v>
      </c>
      <c r="W32" s="149" t="s">
        <v>43</v>
      </c>
      <c r="X32" s="140" t="s">
        <v>43</v>
      </c>
      <c r="Y32" s="131" t="s">
        <v>43</v>
      </c>
      <c r="Z32" s="141" t="s">
        <v>43</v>
      </c>
      <c r="AA32" s="525" t="s">
        <v>158</v>
      </c>
    </row>
    <row r="33" spans="1:33" s="3" customFormat="1" x14ac:dyDescent="0.25">
      <c r="A33" s="23"/>
      <c r="B33" s="505" t="s">
        <v>131</v>
      </c>
      <c r="C33" s="45"/>
      <c r="D33" s="54"/>
      <c r="E33" s="55"/>
      <c r="F33" s="54"/>
      <c r="G33" s="55"/>
      <c r="H33" s="54"/>
      <c r="I33" s="218"/>
      <c r="J33" s="55"/>
      <c r="K33" s="84"/>
      <c r="L33" s="55"/>
      <c r="N33" s="110"/>
      <c r="O33" s="174"/>
      <c r="P33" s="132"/>
      <c r="Q33" s="118"/>
      <c r="R33" s="132"/>
      <c r="S33" s="174"/>
      <c r="T33" s="539"/>
      <c r="U33" s="132"/>
      <c r="V33" s="251"/>
      <c r="W33" s="151"/>
      <c r="X33" s="110"/>
      <c r="Y33" s="174"/>
      <c r="Z33" s="109"/>
    </row>
    <row r="34" spans="1:33" s="3" customFormat="1" x14ac:dyDescent="0.25">
      <c r="A34" s="23"/>
      <c r="B34" s="505" t="s">
        <v>132</v>
      </c>
      <c r="C34" s="45"/>
      <c r="D34" s="54"/>
      <c r="E34" s="55"/>
      <c r="F34" s="54"/>
      <c r="G34" s="55"/>
      <c r="H34" s="54"/>
      <c r="I34" s="218"/>
      <c r="J34" s="55"/>
      <c r="K34" s="84"/>
      <c r="L34" s="55"/>
      <c r="N34" s="142"/>
      <c r="O34" s="126"/>
      <c r="P34" s="134"/>
      <c r="Q34" s="142"/>
      <c r="R34" s="126"/>
      <c r="S34" s="152"/>
      <c r="T34" s="142"/>
      <c r="U34" s="134"/>
      <c r="V34" s="238"/>
      <c r="W34" s="152"/>
      <c r="X34" s="142"/>
      <c r="Y34" s="126"/>
      <c r="Z34" s="114"/>
    </row>
    <row r="35" spans="1:33" s="3" customFormat="1" x14ac:dyDescent="0.25">
      <c r="A35" s="5">
        <v>9</v>
      </c>
      <c r="B35" s="504" t="s">
        <v>133</v>
      </c>
      <c r="C35" s="506" t="s">
        <v>53</v>
      </c>
      <c r="D35" s="506" t="s">
        <v>53</v>
      </c>
      <c r="E35" s="506" t="s">
        <v>53</v>
      </c>
      <c r="F35" s="506" t="s">
        <v>53</v>
      </c>
      <c r="G35" s="506" t="s">
        <v>53</v>
      </c>
      <c r="H35" s="506" t="s">
        <v>53</v>
      </c>
      <c r="I35" s="506" t="s">
        <v>53</v>
      </c>
      <c r="J35" s="506" t="s">
        <v>53</v>
      </c>
      <c r="K35" s="506" t="s">
        <v>53</v>
      </c>
      <c r="L35" s="506" t="s">
        <v>53</v>
      </c>
      <c r="N35" s="142" t="s">
        <v>53</v>
      </c>
      <c r="O35" s="126" t="s">
        <v>53</v>
      </c>
      <c r="P35" s="134" t="s">
        <v>53</v>
      </c>
      <c r="Q35" s="142" t="s">
        <v>53</v>
      </c>
      <c r="R35" s="126" t="s">
        <v>53</v>
      </c>
      <c r="S35" s="152" t="s">
        <v>53</v>
      </c>
      <c r="T35" s="142" t="s">
        <v>53</v>
      </c>
      <c r="U35" s="134" t="s">
        <v>53</v>
      </c>
      <c r="V35" s="238" t="s">
        <v>53</v>
      </c>
      <c r="W35" s="152" t="s">
        <v>53</v>
      </c>
      <c r="X35" s="142" t="s">
        <v>53</v>
      </c>
      <c r="Y35" s="126" t="s">
        <v>53</v>
      </c>
      <c r="Z35" s="114" t="s">
        <v>53</v>
      </c>
    </row>
    <row r="36" spans="1:33" s="3" customFormat="1" x14ac:dyDescent="0.25">
      <c r="A36" s="5">
        <v>10</v>
      </c>
      <c r="B36" s="5" t="s">
        <v>32</v>
      </c>
      <c r="C36" s="59">
        <f>'for Dist.'!C34</f>
        <v>1050</v>
      </c>
      <c r="D36" s="56">
        <f>C36*D23</f>
        <v>157.5</v>
      </c>
      <c r="E36" s="49">
        <f>C36-D36</f>
        <v>892.5</v>
      </c>
      <c r="F36" s="56">
        <f>C36*F23</f>
        <v>367.5</v>
      </c>
      <c r="G36" s="49">
        <f>E36-F36</f>
        <v>525</v>
      </c>
      <c r="H36" s="56">
        <f>C36*H23</f>
        <v>105</v>
      </c>
      <c r="I36" s="56">
        <f>G36*I23</f>
        <v>52.5</v>
      </c>
      <c r="J36" s="49">
        <f>G36-H36-I36</f>
        <v>367.5</v>
      </c>
      <c r="K36" s="85">
        <f>C36*K23</f>
        <v>105</v>
      </c>
      <c r="L36" s="49">
        <f>J36-K36</f>
        <v>262.5</v>
      </c>
      <c r="N36" s="173" t="s">
        <v>43</v>
      </c>
      <c r="O36" s="129" t="s">
        <v>43</v>
      </c>
      <c r="P36" s="528" t="s">
        <v>43</v>
      </c>
      <c r="Q36" s="173" t="s">
        <v>43</v>
      </c>
      <c r="R36" s="129" t="s">
        <v>43</v>
      </c>
      <c r="S36" s="172" t="s">
        <v>43</v>
      </c>
      <c r="T36" s="137" t="s">
        <v>43</v>
      </c>
      <c r="U36" s="225" t="s">
        <v>43</v>
      </c>
      <c r="V36" s="248" t="s">
        <v>43</v>
      </c>
      <c r="W36" s="172" t="s">
        <v>43</v>
      </c>
      <c r="X36" s="137" t="s">
        <v>43</v>
      </c>
      <c r="Y36" s="129" t="s">
        <v>43</v>
      </c>
      <c r="Z36" s="138" t="s">
        <v>43</v>
      </c>
    </row>
    <row r="37" spans="1:33" s="3" customFormat="1" x14ac:dyDescent="0.25">
      <c r="A37" s="5">
        <v>11</v>
      </c>
      <c r="B37" s="14" t="s">
        <v>56</v>
      </c>
      <c r="C37" s="57">
        <f>'for Dist.'!C35</f>
        <v>100</v>
      </c>
      <c r="D37" s="61">
        <f>C37*D23</f>
        <v>15</v>
      </c>
      <c r="E37" s="49">
        <f>C37-D37</f>
        <v>85</v>
      </c>
      <c r="F37" s="61">
        <f>C37*F23</f>
        <v>35</v>
      </c>
      <c r="G37" s="49">
        <f>E37-F37</f>
        <v>50</v>
      </c>
      <c r="H37" s="61">
        <f>C37*H23</f>
        <v>10</v>
      </c>
      <c r="I37" s="61">
        <f>G37*I23</f>
        <v>5</v>
      </c>
      <c r="J37" s="49">
        <f>G37-H37-I37</f>
        <v>35</v>
      </c>
      <c r="K37" s="222">
        <f>C37*K23</f>
        <v>10</v>
      </c>
      <c r="L37" s="49">
        <f>J37-K37</f>
        <v>25</v>
      </c>
      <c r="N37" s="137">
        <v>700</v>
      </c>
      <c r="O37" s="129">
        <f>D37*N37</f>
        <v>10500</v>
      </c>
      <c r="P37" s="225">
        <f>C37*N37</f>
        <v>70000</v>
      </c>
      <c r="Q37" s="137">
        <v>700</v>
      </c>
      <c r="R37" s="129">
        <f>F37*N37</f>
        <v>24500</v>
      </c>
      <c r="S37" s="148">
        <f>E37*Q37</f>
        <v>59500</v>
      </c>
      <c r="T37" s="137">
        <v>700</v>
      </c>
      <c r="U37" s="226">
        <f>H37*T37</f>
        <v>7000</v>
      </c>
      <c r="V37" s="249">
        <f>I37*T37</f>
        <v>3500</v>
      </c>
      <c r="W37" s="245">
        <f>G37*T37</f>
        <v>35000</v>
      </c>
      <c r="X37" s="137">
        <v>700</v>
      </c>
      <c r="Y37" s="130">
        <f>K37*X37</f>
        <v>7000</v>
      </c>
      <c r="Z37" s="139">
        <f>X37*J37</f>
        <v>24500</v>
      </c>
      <c r="AA37" s="525" t="s">
        <v>158</v>
      </c>
    </row>
    <row r="38" spans="1:33" s="3" customFormat="1" x14ac:dyDescent="0.25">
      <c r="A38" s="5">
        <v>12</v>
      </c>
      <c r="B38" s="5" t="s">
        <v>45</v>
      </c>
      <c r="C38" s="59">
        <v>300</v>
      </c>
      <c r="D38" s="50" t="s">
        <v>43</v>
      </c>
      <c r="E38" s="86" t="s">
        <v>43</v>
      </c>
      <c r="F38" s="56">
        <v>300</v>
      </c>
      <c r="G38" s="86">
        <v>0</v>
      </c>
      <c r="H38" s="56" t="s">
        <v>43</v>
      </c>
      <c r="I38" s="242" t="s">
        <v>43</v>
      </c>
      <c r="J38" s="86" t="s">
        <v>43</v>
      </c>
      <c r="K38" s="85" t="s">
        <v>43</v>
      </c>
      <c r="L38" s="86" t="s">
        <v>43</v>
      </c>
      <c r="N38" s="173" t="s">
        <v>43</v>
      </c>
      <c r="O38" s="129" t="s">
        <v>43</v>
      </c>
      <c r="P38" s="528" t="s">
        <v>43</v>
      </c>
      <c r="Q38" s="137">
        <v>1000</v>
      </c>
      <c r="R38" s="129">
        <f>F38*Q38</f>
        <v>300000</v>
      </c>
      <c r="S38" s="172">
        <f>C38*Q38</f>
        <v>300000</v>
      </c>
      <c r="T38" s="137" t="s">
        <v>43</v>
      </c>
      <c r="U38" s="225" t="s">
        <v>43</v>
      </c>
      <c r="V38" s="248" t="s">
        <v>43</v>
      </c>
      <c r="W38" s="172" t="s">
        <v>43</v>
      </c>
      <c r="X38" s="137" t="s">
        <v>43</v>
      </c>
      <c r="Y38" s="129" t="s">
        <v>43</v>
      </c>
      <c r="Z38" s="138" t="s">
        <v>43</v>
      </c>
      <c r="AA38" s="525" t="s">
        <v>158</v>
      </c>
    </row>
    <row r="39" spans="1:33" s="3" customFormat="1" x14ac:dyDescent="0.25">
      <c r="A39" s="5">
        <v>13</v>
      </c>
      <c r="B39" s="102" t="s">
        <v>62</v>
      </c>
      <c r="C39" s="57">
        <v>600</v>
      </c>
      <c r="D39" s="52" t="s">
        <v>43</v>
      </c>
      <c r="E39" s="49" t="s">
        <v>43</v>
      </c>
      <c r="F39" s="61" t="s">
        <v>43</v>
      </c>
      <c r="G39" s="49" t="s">
        <v>43</v>
      </c>
      <c r="H39" s="61">
        <v>600</v>
      </c>
      <c r="I39" s="244" t="s">
        <v>43</v>
      </c>
      <c r="J39" s="49">
        <v>0</v>
      </c>
      <c r="K39" s="223" t="s">
        <v>43</v>
      </c>
      <c r="L39" s="161" t="s">
        <v>43</v>
      </c>
      <c r="N39" s="173" t="s">
        <v>43</v>
      </c>
      <c r="O39" s="129" t="s">
        <v>43</v>
      </c>
      <c r="P39" s="528" t="s">
        <v>43</v>
      </c>
      <c r="Q39" s="173" t="s">
        <v>43</v>
      </c>
      <c r="R39" s="129" t="s">
        <v>43</v>
      </c>
      <c r="S39" s="172" t="s">
        <v>43</v>
      </c>
      <c r="T39" s="137">
        <v>700</v>
      </c>
      <c r="U39" s="225">
        <f>H39*T39</f>
        <v>420000</v>
      </c>
      <c r="V39" s="248" t="s">
        <v>43</v>
      </c>
      <c r="W39" s="172">
        <f>C39*T39</f>
        <v>420000</v>
      </c>
      <c r="X39" s="137" t="s">
        <v>43</v>
      </c>
      <c r="Y39" s="129" t="s">
        <v>43</v>
      </c>
      <c r="Z39" s="138" t="s">
        <v>43</v>
      </c>
      <c r="AA39" s="525" t="s">
        <v>158</v>
      </c>
      <c r="AB39" s="1"/>
      <c r="AC39" s="1"/>
      <c r="AD39" s="1"/>
      <c r="AE39" s="1"/>
      <c r="AF39" s="1"/>
      <c r="AG39" s="1"/>
    </row>
    <row r="40" spans="1:33" x14ac:dyDescent="0.25">
      <c r="A40" s="5">
        <v>14</v>
      </c>
      <c r="B40" s="5" t="s">
        <v>50</v>
      </c>
      <c r="C40" s="44" t="s">
        <v>43</v>
      </c>
      <c r="D40" s="50" t="s">
        <v>43</v>
      </c>
      <c r="E40" s="86" t="s">
        <v>52</v>
      </c>
      <c r="F40" s="50" t="s">
        <v>43</v>
      </c>
      <c r="G40" s="86" t="s">
        <v>53</v>
      </c>
      <c r="H40" s="50" t="s">
        <v>43</v>
      </c>
      <c r="I40" s="220" t="s">
        <v>43</v>
      </c>
      <c r="J40" s="86" t="s">
        <v>43</v>
      </c>
      <c r="K40" s="82" t="s">
        <v>43</v>
      </c>
      <c r="L40" s="86" t="s">
        <v>43</v>
      </c>
      <c r="N40" s="173" t="s">
        <v>43</v>
      </c>
      <c r="O40" s="129" t="s">
        <v>43</v>
      </c>
      <c r="P40" s="528" t="s">
        <v>43</v>
      </c>
      <c r="Q40" s="173" t="s">
        <v>43</v>
      </c>
      <c r="R40" s="129" t="s">
        <v>43</v>
      </c>
      <c r="S40" s="172" t="s">
        <v>43</v>
      </c>
      <c r="T40" s="137" t="s">
        <v>43</v>
      </c>
      <c r="U40" s="225" t="s">
        <v>43</v>
      </c>
      <c r="V40" s="248" t="s">
        <v>43</v>
      </c>
      <c r="W40" s="172" t="s">
        <v>43</v>
      </c>
      <c r="X40" s="137" t="s">
        <v>43</v>
      </c>
      <c r="Y40" s="129" t="s">
        <v>43</v>
      </c>
      <c r="Z40" s="138" t="s">
        <v>43</v>
      </c>
    </row>
    <row r="41" spans="1:33" ht="16.5" thickBot="1" x14ac:dyDescent="0.3">
      <c r="A41" s="5">
        <v>15</v>
      </c>
      <c r="B41" s="504" t="s">
        <v>157</v>
      </c>
      <c r="C41" s="92" t="s">
        <v>43</v>
      </c>
      <c r="D41" s="93" t="s">
        <v>43</v>
      </c>
      <c r="E41" s="94">
        <v>600</v>
      </c>
      <c r="F41" s="93">
        <v>600</v>
      </c>
      <c r="G41" s="94" t="s">
        <v>43</v>
      </c>
      <c r="H41" s="93" t="s">
        <v>43</v>
      </c>
      <c r="I41" s="241" t="s">
        <v>43</v>
      </c>
      <c r="J41" s="94" t="s">
        <v>43</v>
      </c>
      <c r="K41" s="95" t="s">
        <v>43</v>
      </c>
      <c r="L41" s="94" t="s">
        <v>43</v>
      </c>
      <c r="N41" s="143" t="s">
        <v>43</v>
      </c>
      <c r="O41" s="144" t="s">
        <v>43</v>
      </c>
      <c r="P41" s="228">
        <f>E41*Q41</f>
        <v>60000</v>
      </c>
      <c r="Q41" s="143">
        <v>100</v>
      </c>
      <c r="R41" s="144">
        <f>Q41*F41</f>
        <v>60000</v>
      </c>
      <c r="S41" s="154" t="s">
        <v>43</v>
      </c>
      <c r="T41" s="143" t="s">
        <v>43</v>
      </c>
      <c r="U41" s="228" t="s">
        <v>43</v>
      </c>
      <c r="V41" s="252" t="s">
        <v>43</v>
      </c>
      <c r="W41" s="247" t="s">
        <v>43</v>
      </c>
      <c r="X41" s="146" t="s">
        <v>43</v>
      </c>
      <c r="Y41" s="144" t="s">
        <v>43</v>
      </c>
      <c r="Z41" s="145" t="s">
        <v>43</v>
      </c>
    </row>
    <row r="42" spans="1:33" x14ac:dyDescent="0.25">
      <c r="B42" s="38" t="s">
        <v>33</v>
      </c>
      <c r="L42" s="11"/>
    </row>
    <row r="43" spans="1:33" x14ac:dyDescent="0.25">
      <c r="O43" s="123">
        <f>SUM(O25:O41)</f>
        <v>63000</v>
      </c>
      <c r="P43" s="123">
        <f>SUM(P25:P41)</f>
        <v>480000</v>
      </c>
      <c r="R43" s="123">
        <f>SUM(R25:R41)</f>
        <v>1123000</v>
      </c>
      <c r="S43" s="123">
        <f>SUM(S25:S41)</f>
        <v>1273000</v>
      </c>
      <c r="T43" s="123"/>
      <c r="U43" s="123">
        <f>SUM(U25:U41)</f>
        <v>567000</v>
      </c>
      <c r="V43" s="123">
        <f>SUM(V25:V41)</f>
        <v>21000</v>
      </c>
      <c r="W43" s="123">
        <f>SUM(W25:W41)</f>
        <v>735000</v>
      </c>
      <c r="X43" s="123"/>
      <c r="Y43" s="123">
        <f>SUM(Y25:Y41)</f>
        <v>42000</v>
      </c>
      <c r="Z43" s="123">
        <f>SUM(Z25:Z41)</f>
        <v>147000</v>
      </c>
    </row>
    <row r="45" spans="1:33" x14ac:dyDescent="0.25">
      <c r="O45" s="157">
        <f>O43/P43</f>
        <v>0.13125000000000001</v>
      </c>
      <c r="R45" s="157">
        <f>R43/S43</f>
        <v>0.88216810683424984</v>
      </c>
      <c r="U45" s="157">
        <f>(U43+V43)/W43</f>
        <v>0.8</v>
      </c>
      <c r="V45" s="157"/>
      <c r="Y45" s="157">
        <f>Y43/Z43</f>
        <v>0.2857142857142857</v>
      </c>
    </row>
    <row r="47" spans="1:33" x14ac:dyDescent="0.25">
      <c r="A47" s="11"/>
      <c r="B47" s="37" t="s">
        <v>21</v>
      </c>
      <c r="C47" s="12"/>
      <c r="D47" s="12"/>
      <c r="E47" s="11"/>
      <c r="F47" s="11"/>
      <c r="G47" s="11"/>
      <c r="H47" s="11"/>
      <c r="I47" s="11"/>
    </row>
    <row r="48" spans="1:33" x14ac:dyDescent="0.25">
      <c r="A48" s="11"/>
      <c r="B48" s="37"/>
      <c r="C48" s="12"/>
      <c r="D48" s="650" t="s">
        <v>156</v>
      </c>
      <c r="E48" s="650"/>
      <c r="F48" s="651" t="s">
        <v>155</v>
      </c>
      <c r="G48" s="651"/>
      <c r="H48" s="651" t="s">
        <v>154</v>
      </c>
      <c r="I48" s="651"/>
      <c r="J48" s="651"/>
      <c r="K48" s="651" t="s">
        <v>153</v>
      </c>
      <c r="L48" s="651"/>
    </row>
    <row r="49" spans="1:27" x14ac:dyDescent="0.25">
      <c r="A49" s="11"/>
      <c r="B49" s="37"/>
      <c r="C49" s="12"/>
      <c r="D49" s="12"/>
      <c r="E49" s="11"/>
      <c r="F49" s="11"/>
      <c r="G49" s="11"/>
      <c r="H49" s="11"/>
      <c r="I49" s="11"/>
    </row>
    <row r="50" spans="1:27" ht="16.5" thickBot="1" x14ac:dyDescent="0.3">
      <c r="D50" s="72">
        <v>0.15</v>
      </c>
      <c r="E50" s="72"/>
      <c r="F50" s="72">
        <v>0.35</v>
      </c>
      <c r="G50" s="72"/>
      <c r="H50" s="72">
        <v>0.1</v>
      </c>
      <c r="I50" s="72">
        <v>0.1</v>
      </c>
      <c r="J50" s="72"/>
      <c r="K50" s="72">
        <v>0.1</v>
      </c>
      <c r="L50" s="3"/>
      <c r="N50" s="510">
        <v>3000</v>
      </c>
      <c r="P50" s="101" t="s">
        <v>77</v>
      </c>
      <c r="Q50" s="510">
        <v>3000</v>
      </c>
      <c r="S50" s="101" t="s">
        <v>102</v>
      </c>
      <c r="T50" s="510">
        <v>3000</v>
      </c>
      <c r="W50" s="101" t="s">
        <v>66</v>
      </c>
      <c r="X50" s="510">
        <v>3000</v>
      </c>
      <c r="Z50" s="128" t="s">
        <v>67</v>
      </c>
    </row>
    <row r="51" spans="1:27" x14ac:dyDescent="0.25">
      <c r="D51" s="46" t="s">
        <v>42</v>
      </c>
      <c r="E51" s="47" t="s">
        <v>37</v>
      </c>
      <c r="F51" s="46" t="s">
        <v>42</v>
      </c>
      <c r="G51" s="47" t="s">
        <v>38</v>
      </c>
      <c r="H51" s="46" t="s">
        <v>42</v>
      </c>
      <c r="I51" s="46" t="s">
        <v>103</v>
      </c>
      <c r="J51" s="47" t="s">
        <v>39</v>
      </c>
      <c r="K51" s="46" t="s">
        <v>42</v>
      </c>
      <c r="L51" s="47" t="s">
        <v>40</v>
      </c>
      <c r="N51" s="115" t="s">
        <v>64</v>
      </c>
      <c r="O51" s="135" t="s">
        <v>42</v>
      </c>
      <c r="P51" s="116" t="s">
        <v>65</v>
      </c>
      <c r="Q51" s="115" t="s">
        <v>64</v>
      </c>
      <c r="R51" s="135" t="s">
        <v>42</v>
      </c>
      <c r="S51" s="116" t="s">
        <v>65</v>
      </c>
      <c r="T51" s="115" t="s">
        <v>64</v>
      </c>
      <c r="U51" s="229" t="s">
        <v>42</v>
      </c>
      <c r="V51" s="221" t="s">
        <v>103</v>
      </c>
      <c r="W51" s="116" t="s">
        <v>65</v>
      </c>
      <c r="X51" s="115" t="s">
        <v>64</v>
      </c>
      <c r="Y51" s="135" t="s">
        <v>42</v>
      </c>
      <c r="Z51" s="116" t="s">
        <v>65</v>
      </c>
    </row>
    <row r="52" spans="1:27" x14ac:dyDescent="0.25">
      <c r="A52" s="13"/>
      <c r="B52" s="529" t="s">
        <v>14</v>
      </c>
      <c r="C52" s="532">
        <v>3550</v>
      </c>
      <c r="D52" s="69">
        <f>(C70)*D50</f>
        <v>612</v>
      </c>
      <c r="E52" s="74">
        <f>C52-D52</f>
        <v>2938</v>
      </c>
      <c r="F52" s="69">
        <f>(C70)*F50+C73</f>
        <v>2178</v>
      </c>
      <c r="G52" s="74">
        <f>E52-F52</f>
        <v>760</v>
      </c>
      <c r="H52" s="69">
        <f>(C70-200)*H50</f>
        <v>388</v>
      </c>
      <c r="I52" s="69">
        <f>G52*I50</f>
        <v>76</v>
      </c>
      <c r="J52" s="74">
        <f>G52-H52-I52</f>
        <v>296</v>
      </c>
      <c r="K52" s="69">
        <f>C70*K50</f>
        <v>408</v>
      </c>
      <c r="L52" s="74">
        <f>J52-K52</f>
        <v>-112</v>
      </c>
      <c r="N52" s="120">
        <v>3000</v>
      </c>
      <c r="O52" s="124">
        <f>D52*N52</f>
        <v>1836000</v>
      </c>
      <c r="P52" s="113">
        <f>C52*N52</f>
        <v>10650000</v>
      </c>
      <c r="Q52" s="120">
        <v>3000</v>
      </c>
      <c r="R52" s="124">
        <f>F52*Q52</f>
        <v>6534000</v>
      </c>
      <c r="S52" s="113">
        <f>E52*Q52</f>
        <v>8814000</v>
      </c>
      <c r="T52" s="120">
        <v>3000</v>
      </c>
      <c r="U52" s="124">
        <f>H52*T52</f>
        <v>1164000</v>
      </c>
      <c r="V52" s="236">
        <f>I52*T52</f>
        <v>228000</v>
      </c>
      <c r="W52" s="113">
        <f>G52*T52</f>
        <v>2280000</v>
      </c>
      <c r="X52" s="120">
        <v>3000</v>
      </c>
      <c r="Y52" s="124">
        <f>K52*X52</f>
        <v>1224000</v>
      </c>
      <c r="Z52" s="113">
        <f>X52*J52</f>
        <v>888000</v>
      </c>
      <c r="AA52" s="524" t="s">
        <v>160</v>
      </c>
    </row>
    <row r="53" spans="1:27" x14ac:dyDescent="0.25">
      <c r="A53" s="18"/>
      <c r="B53" s="531" t="s">
        <v>11</v>
      </c>
      <c r="C53" s="36" t="s">
        <v>100</v>
      </c>
      <c r="D53" s="489"/>
      <c r="E53" s="55"/>
      <c r="F53" s="489">
        <f>C70*F50</f>
        <v>1428</v>
      </c>
      <c r="G53" s="55"/>
      <c r="H53" s="54"/>
      <c r="I53" s="54"/>
      <c r="J53" s="55"/>
      <c r="K53" s="54"/>
      <c r="L53" s="55"/>
      <c r="N53" s="118"/>
      <c r="O53" s="492"/>
      <c r="P53" s="496"/>
      <c r="Q53" s="118"/>
      <c r="R53" s="492">
        <f>Q52*F53</f>
        <v>4284000</v>
      </c>
      <c r="S53" s="111"/>
      <c r="T53" s="118"/>
      <c r="U53" s="125"/>
      <c r="V53" s="237"/>
      <c r="W53" s="111"/>
      <c r="X53" s="118"/>
      <c r="Y53" s="125"/>
      <c r="Z53" s="111"/>
    </row>
    <row r="54" spans="1:27" x14ac:dyDescent="0.25">
      <c r="A54" s="6"/>
      <c r="B54" s="21" t="s">
        <v>34</v>
      </c>
      <c r="C54" s="533" t="s">
        <v>98</v>
      </c>
      <c r="D54" s="491"/>
      <c r="E54" s="76"/>
      <c r="F54" s="491">
        <f>C73</f>
        <v>750</v>
      </c>
      <c r="G54" s="76"/>
      <c r="H54" s="70"/>
      <c r="I54" s="70"/>
      <c r="J54" s="76"/>
      <c r="K54" s="70"/>
      <c r="L54" s="76"/>
      <c r="N54" s="119"/>
      <c r="O54" s="493"/>
      <c r="P54" s="114"/>
      <c r="Q54" s="119"/>
      <c r="R54" s="493">
        <f>Q52*F54</f>
        <v>2250000</v>
      </c>
      <c r="S54" s="114"/>
      <c r="T54" s="119"/>
      <c r="U54" s="126"/>
      <c r="V54" s="238"/>
      <c r="W54" s="114"/>
      <c r="X54" s="119"/>
      <c r="Y54" s="126"/>
      <c r="Z54" s="114"/>
    </row>
    <row r="55" spans="1:27" x14ac:dyDescent="0.25">
      <c r="A55" s="11"/>
      <c r="B55" s="20"/>
      <c r="C55" s="614"/>
      <c r="D55" s="615"/>
      <c r="E55" s="218"/>
      <c r="F55" s="615"/>
      <c r="G55" s="218"/>
      <c r="H55" s="218"/>
      <c r="I55" s="218"/>
      <c r="J55" s="218"/>
      <c r="K55" s="218"/>
      <c r="L55" s="218"/>
      <c r="N55" s="539"/>
      <c r="O55" s="615"/>
      <c r="P55" s="11"/>
      <c r="Q55" s="539"/>
      <c r="R55" s="615"/>
      <c r="S55" s="11"/>
      <c r="T55" s="539"/>
      <c r="U55" s="12"/>
      <c r="V55" s="12"/>
      <c r="W55" s="11"/>
      <c r="X55" s="539"/>
      <c r="Y55" s="12"/>
      <c r="Z55" s="11"/>
    </row>
    <row r="56" spans="1:27" x14ac:dyDescent="0.25">
      <c r="A56" s="11"/>
      <c r="B56" s="20"/>
      <c r="C56" s="614"/>
      <c r="D56" s="615"/>
      <c r="E56" s="218"/>
      <c r="F56" s="615"/>
      <c r="G56" s="218"/>
      <c r="H56" s="218"/>
      <c r="I56" s="218"/>
      <c r="J56" s="218"/>
      <c r="K56" s="218"/>
      <c r="L56" s="218"/>
      <c r="N56" s="539"/>
      <c r="O56" s="615"/>
      <c r="P56" s="11"/>
      <c r="Q56" s="539"/>
      <c r="R56" s="615"/>
      <c r="S56" s="11"/>
      <c r="T56" s="539"/>
      <c r="U56" s="12"/>
      <c r="V56" s="12"/>
      <c r="W56" s="11"/>
      <c r="X56" s="539"/>
      <c r="Y56" s="12"/>
      <c r="Z56" s="11"/>
    </row>
    <row r="57" spans="1:27" x14ac:dyDescent="0.25">
      <c r="A57" s="11"/>
      <c r="B57" s="20"/>
      <c r="C57" s="614"/>
      <c r="D57" s="615"/>
      <c r="E57" s="218"/>
      <c r="F57" s="615"/>
      <c r="G57" s="218"/>
      <c r="H57" s="218"/>
      <c r="I57" s="218"/>
      <c r="J57" s="218"/>
      <c r="K57" s="218"/>
      <c r="L57" s="218"/>
      <c r="N57" s="539"/>
      <c r="O57" s="615"/>
      <c r="P57" s="11"/>
      <c r="Q57" s="539"/>
      <c r="R57" s="615"/>
      <c r="S57" s="11"/>
      <c r="T57" s="539"/>
      <c r="U57" s="12"/>
      <c r="V57" s="12"/>
      <c r="W57" s="11"/>
      <c r="X57" s="539"/>
      <c r="Y57" s="12"/>
      <c r="Z57" s="11"/>
    </row>
    <row r="58" spans="1:27" x14ac:dyDescent="0.25">
      <c r="A58" s="11"/>
      <c r="B58" s="20"/>
      <c r="C58" s="614"/>
      <c r="D58" s="615"/>
      <c r="E58" s="218"/>
      <c r="F58" s="615"/>
      <c r="G58" s="218"/>
      <c r="H58" s="218"/>
      <c r="I58" s="218"/>
      <c r="J58" s="218"/>
      <c r="K58" s="218"/>
      <c r="L58" s="218"/>
      <c r="N58" s="539"/>
      <c r="O58" s="615"/>
      <c r="P58" s="11"/>
      <c r="Q58" s="539"/>
      <c r="R58" s="615"/>
      <c r="S58" s="11"/>
      <c r="T58" s="539"/>
      <c r="U58" s="12"/>
      <c r="V58" s="12"/>
      <c r="W58" s="11"/>
      <c r="X58" s="539"/>
      <c r="Y58" s="12"/>
      <c r="Z58" s="11"/>
    </row>
    <row r="59" spans="1:27" x14ac:dyDescent="0.25">
      <c r="A59" s="11"/>
      <c r="B59" s="20"/>
      <c r="C59" s="614"/>
      <c r="D59" s="615"/>
      <c r="E59" s="218"/>
      <c r="F59" s="615"/>
      <c r="G59" s="218"/>
      <c r="H59" s="218"/>
      <c r="I59" s="218"/>
      <c r="J59" s="218"/>
      <c r="K59" s="218"/>
      <c r="L59" s="218"/>
      <c r="N59" s="539"/>
      <c r="O59" s="615"/>
      <c r="P59" s="11"/>
      <c r="Q59" s="539"/>
      <c r="R59" s="615"/>
      <c r="S59" s="11"/>
      <c r="T59" s="539"/>
      <c r="U59" s="12"/>
      <c r="V59" s="12"/>
      <c r="W59" s="11"/>
      <c r="X59" s="539"/>
      <c r="Y59" s="12"/>
      <c r="Z59" s="11"/>
    </row>
    <row r="60" spans="1:27" x14ac:dyDescent="0.25">
      <c r="A60" s="11"/>
      <c r="B60" s="20"/>
      <c r="C60" s="614"/>
      <c r="D60" s="615"/>
      <c r="E60" s="218"/>
      <c r="F60" s="615"/>
      <c r="G60" s="218"/>
      <c r="H60" s="218"/>
      <c r="I60" s="218"/>
      <c r="J60" s="218"/>
      <c r="K60" s="218"/>
      <c r="L60" s="218"/>
      <c r="N60" s="539"/>
      <c r="O60" s="615"/>
      <c r="P60" s="11"/>
      <c r="Q60" s="539"/>
      <c r="R60" s="615"/>
      <c r="S60" s="11"/>
      <c r="T60" s="539"/>
      <c r="U60" s="12"/>
      <c r="V60" s="12"/>
      <c r="W60" s="11"/>
      <c r="X60" s="539"/>
      <c r="Y60" s="12"/>
      <c r="Z60" s="11"/>
    </row>
    <row r="61" spans="1:27" x14ac:dyDescent="0.25">
      <c r="A61" s="11"/>
      <c r="B61" s="20"/>
      <c r="C61" s="614"/>
      <c r="D61" s="615"/>
      <c r="E61" s="218"/>
      <c r="F61" s="615"/>
      <c r="G61" s="218"/>
      <c r="H61" s="218"/>
      <c r="I61" s="218"/>
      <c r="J61" s="218"/>
      <c r="K61" s="218"/>
      <c r="L61" s="218"/>
      <c r="N61" s="539"/>
      <c r="O61" s="615"/>
      <c r="P61" s="11"/>
      <c r="Q61" s="539"/>
      <c r="R61" s="615"/>
      <c r="S61" s="11"/>
      <c r="T61" s="539"/>
      <c r="U61" s="12"/>
      <c r="V61" s="12"/>
      <c r="W61" s="11"/>
      <c r="X61" s="539"/>
      <c r="Y61" s="12"/>
      <c r="Z61" s="11"/>
    </row>
    <row r="62" spans="1:27" x14ac:dyDescent="0.25">
      <c r="A62" s="11"/>
      <c r="B62" s="20"/>
      <c r="C62" s="614"/>
      <c r="D62" s="615"/>
      <c r="E62" s="218"/>
      <c r="F62" s="615"/>
      <c r="G62" s="218"/>
      <c r="H62" s="218"/>
      <c r="I62" s="218"/>
      <c r="J62" s="218"/>
      <c r="K62" s="218"/>
      <c r="L62" s="218"/>
      <c r="N62" s="539"/>
      <c r="O62" s="615"/>
      <c r="P62" s="11"/>
      <c r="Q62" s="539"/>
      <c r="R62" s="615"/>
      <c r="S62" s="11"/>
      <c r="T62" s="539"/>
      <c r="U62" s="12"/>
      <c r="V62" s="12"/>
      <c r="W62" s="11"/>
      <c r="X62" s="539"/>
      <c r="Y62" s="12"/>
      <c r="Z62" s="11"/>
    </row>
    <row r="63" spans="1:27" x14ac:dyDescent="0.25"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7" x14ac:dyDescent="0.25">
      <c r="N64" s="123"/>
      <c r="O64" s="123">
        <f>SUM(O52:O63)</f>
        <v>1836000</v>
      </c>
      <c r="P64" s="123">
        <f>P52</f>
        <v>10650000</v>
      </c>
      <c r="Q64" s="123"/>
      <c r="R64" s="123">
        <f>SUM(R52)</f>
        <v>6534000</v>
      </c>
      <c r="S64" s="123">
        <f>SUM(S52:S63)</f>
        <v>8814000</v>
      </c>
      <c r="T64" s="123"/>
      <c r="U64" s="123">
        <f>SUM(U52:U63)</f>
        <v>1164000</v>
      </c>
      <c r="V64" s="123">
        <f>SUM(V52:V63)</f>
        <v>228000</v>
      </c>
      <c r="W64" s="123">
        <f>SUM(W52:W63)</f>
        <v>2280000</v>
      </c>
      <c r="X64" s="123"/>
      <c r="Y64" s="123">
        <f>SUM(Y52:Y63)</f>
        <v>1224000</v>
      </c>
      <c r="Z64" s="123">
        <f>SUM(Z52:Z63)</f>
        <v>888000</v>
      </c>
    </row>
    <row r="65" spans="1:27" x14ac:dyDescent="0.25">
      <c r="B65" s="39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7" x14ac:dyDescent="0.25">
      <c r="B66" s="39"/>
      <c r="N66" s="123"/>
      <c r="O66" s="157">
        <f>O64/P64</f>
        <v>0.1723943661971831</v>
      </c>
      <c r="R66" s="157">
        <f>R64/S64</f>
        <v>0.74132062627637851</v>
      </c>
      <c r="U66" s="157">
        <f>(U64+V64)/W64</f>
        <v>0.61052631578947369</v>
      </c>
      <c r="V66" s="157"/>
      <c r="Y66" s="157">
        <f>Y64/Z64</f>
        <v>1.3783783783783783</v>
      </c>
      <c r="Z66" s="123"/>
    </row>
    <row r="67" spans="1:27" x14ac:dyDescent="0.25">
      <c r="B67" s="39" t="s">
        <v>7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7" ht="16.5" thickBot="1" x14ac:dyDescent="0.3">
      <c r="A68" s="3"/>
      <c r="B68" s="3"/>
      <c r="C68" s="3"/>
      <c r="D68" s="42">
        <v>0.15</v>
      </c>
      <c r="E68" s="3"/>
      <c r="F68" s="42">
        <v>0.35</v>
      </c>
      <c r="G68" s="3"/>
      <c r="H68" s="42">
        <v>0.1</v>
      </c>
      <c r="I68" s="42">
        <v>0.1</v>
      </c>
      <c r="J68" s="42"/>
      <c r="K68" s="42">
        <v>0.1</v>
      </c>
      <c r="L68" s="3"/>
      <c r="P68" s="101" t="s">
        <v>77</v>
      </c>
      <c r="S68" s="101" t="s">
        <v>102</v>
      </c>
      <c r="W68" s="101" t="s">
        <v>66</v>
      </c>
      <c r="Z68" s="128" t="s">
        <v>67</v>
      </c>
    </row>
    <row r="69" spans="1:27" s="3" customFormat="1" ht="15" x14ac:dyDescent="0.25">
      <c r="A69" s="9"/>
      <c r="B69" s="9" t="s">
        <v>6</v>
      </c>
      <c r="C69" s="43" t="s">
        <v>36</v>
      </c>
      <c r="D69" s="46" t="s">
        <v>42</v>
      </c>
      <c r="E69" s="47" t="s">
        <v>37</v>
      </c>
      <c r="F69" s="68" t="s">
        <v>42</v>
      </c>
      <c r="G69" s="88" t="s">
        <v>38</v>
      </c>
      <c r="H69" s="46" t="s">
        <v>42</v>
      </c>
      <c r="I69" s="46" t="s">
        <v>103</v>
      </c>
      <c r="J69" s="47" t="s">
        <v>39</v>
      </c>
      <c r="K69" s="68" t="s">
        <v>42</v>
      </c>
      <c r="L69" s="47" t="s">
        <v>40</v>
      </c>
      <c r="N69" s="115" t="s">
        <v>68</v>
      </c>
      <c r="O69" s="135" t="s">
        <v>42</v>
      </c>
      <c r="P69" s="116" t="s">
        <v>65</v>
      </c>
      <c r="Q69" s="115" t="s">
        <v>68</v>
      </c>
      <c r="R69" s="135" t="s">
        <v>42</v>
      </c>
      <c r="S69" s="116" t="s">
        <v>65</v>
      </c>
      <c r="T69" s="115" t="s">
        <v>68</v>
      </c>
      <c r="U69" s="229" t="s">
        <v>42</v>
      </c>
      <c r="V69" s="221" t="s">
        <v>103</v>
      </c>
      <c r="W69" s="116" t="s">
        <v>65</v>
      </c>
      <c r="X69" s="115" t="s">
        <v>76</v>
      </c>
      <c r="Y69" s="135" t="s">
        <v>42</v>
      </c>
      <c r="Z69" s="116" t="s">
        <v>65</v>
      </c>
    </row>
    <row r="70" spans="1:27" s="3" customFormat="1" x14ac:dyDescent="0.25">
      <c r="A70" s="7">
        <v>1</v>
      </c>
      <c r="B70" s="30" t="s">
        <v>41</v>
      </c>
      <c r="C70" s="57">
        <f>'for Dist.'!I15</f>
        <v>4080</v>
      </c>
      <c r="D70" s="61">
        <f>C70*D68</f>
        <v>612</v>
      </c>
      <c r="E70" s="49">
        <f>C70-D70</f>
        <v>3468</v>
      </c>
      <c r="F70" s="81">
        <f>C70*F68</f>
        <v>1428</v>
      </c>
      <c r="G70" s="89">
        <f>E70-F70</f>
        <v>2040</v>
      </c>
      <c r="H70" s="48">
        <f>C70*H68</f>
        <v>408</v>
      </c>
      <c r="I70" s="48">
        <f>G70*I68</f>
        <v>204</v>
      </c>
      <c r="J70" s="49">
        <f>G70-H70-I70</f>
        <v>1428</v>
      </c>
      <c r="K70" s="81">
        <f>C70*K68</f>
        <v>408</v>
      </c>
      <c r="L70" s="49">
        <f>J70-K70</f>
        <v>1020</v>
      </c>
      <c r="N70" s="127">
        <v>0</v>
      </c>
      <c r="O70" s="124">
        <f>E70*N70</f>
        <v>0</v>
      </c>
      <c r="P70" s="113">
        <v>0</v>
      </c>
      <c r="Q70" s="127">
        <v>0</v>
      </c>
      <c r="R70" s="124">
        <f>H70*Q70</f>
        <v>0</v>
      </c>
      <c r="S70" s="113">
        <v>0</v>
      </c>
      <c r="T70" s="127">
        <v>0</v>
      </c>
      <c r="U70" s="230">
        <f>H70*T70</f>
        <v>0</v>
      </c>
      <c r="V70" s="236">
        <v>0</v>
      </c>
      <c r="W70" s="113">
        <f>E70*T70</f>
        <v>0</v>
      </c>
      <c r="X70" s="117">
        <v>0</v>
      </c>
      <c r="Y70" s="124">
        <v>0</v>
      </c>
      <c r="Z70" s="113">
        <f>X70*L70</f>
        <v>0</v>
      </c>
    </row>
    <row r="71" spans="1:27" s="3" customFormat="1" x14ac:dyDescent="0.25">
      <c r="A71" s="7">
        <v>2</v>
      </c>
      <c r="B71" s="41" t="s">
        <v>0</v>
      </c>
      <c r="C71" s="58">
        <f>'for Dist.'!I24</f>
        <v>200</v>
      </c>
      <c r="D71" s="538" t="s">
        <v>43</v>
      </c>
      <c r="E71" s="535" t="s">
        <v>43</v>
      </c>
      <c r="F71" s="82">
        <v>300</v>
      </c>
      <c r="G71" s="44">
        <v>0</v>
      </c>
      <c r="H71" s="50" t="s">
        <v>43</v>
      </c>
      <c r="I71" s="220" t="s">
        <v>43</v>
      </c>
      <c r="J71" s="51" t="s">
        <v>43</v>
      </c>
      <c r="K71" s="82" t="s">
        <v>43</v>
      </c>
      <c r="L71" s="51" t="s">
        <v>43</v>
      </c>
      <c r="N71" s="137" t="s">
        <v>43</v>
      </c>
      <c r="O71" s="129" t="s">
        <v>43</v>
      </c>
      <c r="P71" s="129" t="s">
        <v>43</v>
      </c>
      <c r="Q71" s="137">
        <v>300</v>
      </c>
      <c r="R71" s="129">
        <f>F71*Q71</f>
        <v>90000</v>
      </c>
      <c r="S71" s="129">
        <f>Q71*F71</f>
        <v>90000</v>
      </c>
      <c r="T71" s="137" t="s">
        <v>43</v>
      </c>
      <c r="U71" s="225" t="s">
        <v>43</v>
      </c>
      <c r="V71" s="248" t="s">
        <v>43</v>
      </c>
      <c r="W71" s="245" t="s">
        <v>43</v>
      </c>
      <c r="X71" s="137" t="s">
        <v>43</v>
      </c>
      <c r="Y71" s="129" t="s">
        <v>43</v>
      </c>
      <c r="Z71" s="138" t="s">
        <v>43</v>
      </c>
      <c r="AA71" s="525" t="s">
        <v>161</v>
      </c>
    </row>
    <row r="72" spans="1:27" s="3" customFormat="1" x14ac:dyDescent="0.25">
      <c r="A72" s="5">
        <v>3</v>
      </c>
      <c r="B72" s="41" t="s">
        <v>24</v>
      </c>
      <c r="C72" s="44">
        <f>'for Dist.'!I25</f>
        <v>500</v>
      </c>
      <c r="D72" s="61">
        <f>C72*D68</f>
        <v>75</v>
      </c>
      <c r="E72" s="49">
        <f>C72-D72</f>
        <v>425</v>
      </c>
      <c r="F72" s="81">
        <f>C72*F68</f>
        <v>175</v>
      </c>
      <c r="G72" s="89">
        <f>E72-F72</f>
        <v>250</v>
      </c>
      <c r="H72" s="48">
        <f>C72*H68</f>
        <v>50</v>
      </c>
      <c r="I72" s="48">
        <f>G72*I68</f>
        <v>25</v>
      </c>
      <c r="J72" s="49">
        <f>G72-H72-I72</f>
        <v>175</v>
      </c>
      <c r="K72" s="81">
        <f>C72*K68</f>
        <v>50</v>
      </c>
      <c r="L72" s="49">
        <f>J72-K72</f>
        <v>125</v>
      </c>
      <c r="N72" s="137">
        <f>0.1*N50</f>
        <v>300</v>
      </c>
      <c r="O72" s="129">
        <f>D72*N72</f>
        <v>22500</v>
      </c>
      <c r="P72" s="129">
        <f>C72*N72</f>
        <v>150000</v>
      </c>
      <c r="Q72" s="137">
        <f>0.1*Q50</f>
        <v>300</v>
      </c>
      <c r="R72" s="129">
        <f>F72*N72</f>
        <v>52500</v>
      </c>
      <c r="S72" s="129">
        <f>E72*Q72</f>
        <v>127500</v>
      </c>
      <c r="T72" s="137">
        <f>0.1*T50</f>
        <v>300</v>
      </c>
      <c r="U72" s="225">
        <f>H72*T72</f>
        <v>15000</v>
      </c>
      <c r="V72" s="248">
        <f>I72*T72</f>
        <v>7500</v>
      </c>
      <c r="W72" s="245">
        <f>G72*T72</f>
        <v>75000</v>
      </c>
      <c r="X72" s="137">
        <f>0.1*X50</f>
        <v>300</v>
      </c>
      <c r="Y72" s="129">
        <f>K72*X72</f>
        <v>15000</v>
      </c>
      <c r="Z72" s="148">
        <f>J72*X72</f>
        <v>52500</v>
      </c>
      <c r="AA72" s="525" t="s">
        <v>161</v>
      </c>
    </row>
    <row r="73" spans="1:27" s="3" customFormat="1" x14ac:dyDescent="0.25">
      <c r="A73" s="24">
        <v>4</v>
      </c>
      <c r="B73" s="5" t="s">
        <v>48</v>
      </c>
      <c r="C73" s="59">
        <f>'for Dist.'!I27</f>
        <v>750</v>
      </c>
      <c r="D73" s="538" t="s">
        <v>43</v>
      </c>
      <c r="E73" s="535" t="s">
        <v>43</v>
      </c>
      <c r="F73" s="82">
        <v>550</v>
      </c>
      <c r="G73" s="44">
        <v>0</v>
      </c>
      <c r="H73" s="50" t="s">
        <v>43</v>
      </c>
      <c r="I73" s="220" t="s">
        <v>43</v>
      </c>
      <c r="J73" s="51" t="s">
        <v>43</v>
      </c>
      <c r="K73" s="82" t="s">
        <v>43</v>
      </c>
      <c r="L73" s="51" t="s">
        <v>43</v>
      </c>
      <c r="N73" s="137" t="s">
        <v>43</v>
      </c>
      <c r="O73" s="129" t="s">
        <v>43</v>
      </c>
      <c r="P73" s="129" t="s">
        <v>43</v>
      </c>
      <c r="Q73" s="137" t="s">
        <v>43</v>
      </c>
      <c r="R73" s="129" t="s">
        <v>43</v>
      </c>
      <c r="S73" s="129" t="s">
        <v>43</v>
      </c>
      <c r="T73" s="137" t="s">
        <v>43</v>
      </c>
      <c r="U73" s="225" t="s">
        <v>43</v>
      </c>
      <c r="V73" s="248" t="s">
        <v>43</v>
      </c>
      <c r="W73" s="172" t="s">
        <v>43</v>
      </c>
      <c r="X73" s="137" t="s">
        <v>43</v>
      </c>
      <c r="Y73" s="129" t="s">
        <v>43</v>
      </c>
      <c r="Z73" s="148" t="s">
        <v>43</v>
      </c>
      <c r="AA73" s="147"/>
    </row>
    <row r="74" spans="1:27" s="3" customFormat="1" x14ac:dyDescent="0.25">
      <c r="A74" s="24">
        <v>5</v>
      </c>
      <c r="B74" s="98" t="s">
        <v>58</v>
      </c>
      <c r="C74" s="59">
        <v>150</v>
      </c>
      <c r="D74" s="100" t="s">
        <v>43</v>
      </c>
      <c r="E74" s="99" t="s">
        <v>43</v>
      </c>
      <c r="F74" s="100" t="s">
        <v>43</v>
      </c>
      <c r="G74" s="99" t="s">
        <v>43</v>
      </c>
      <c r="H74" s="50">
        <v>150</v>
      </c>
      <c r="I74" s="220" t="s">
        <v>43</v>
      </c>
      <c r="J74" s="51">
        <v>0</v>
      </c>
      <c r="K74" s="106" t="s">
        <v>43</v>
      </c>
      <c r="L74" s="99" t="s">
        <v>43</v>
      </c>
      <c r="N74" s="137" t="s">
        <v>43</v>
      </c>
      <c r="O74" s="129" t="s">
        <v>43</v>
      </c>
      <c r="P74" s="129" t="s">
        <v>43</v>
      </c>
      <c r="Q74" s="137" t="s">
        <v>43</v>
      </c>
      <c r="R74" s="129" t="s">
        <v>43</v>
      </c>
      <c r="S74" s="129" t="s">
        <v>43</v>
      </c>
      <c r="T74" s="137">
        <v>300</v>
      </c>
      <c r="U74" s="225">
        <f>H74*T74</f>
        <v>45000</v>
      </c>
      <c r="V74" s="248" t="s">
        <v>43</v>
      </c>
      <c r="W74" s="245">
        <f>C74*T74</f>
        <v>45000</v>
      </c>
      <c r="X74" s="137" t="s">
        <v>43</v>
      </c>
      <c r="Y74" s="129" t="s">
        <v>43</v>
      </c>
      <c r="Z74" s="148" t="s">
        <v>43</v>
      </c>
      <c r="AA74" s="525" t="s">
        <v>161</v>
      </c>
    </row>
    <row r="75" spans="1:27" s="3" customFormat="1" x14ac:dyDescent="0.25">
      <c r="A75" s="14">
        <v>6</v>
      </c>
      <c r="B75" s="5" t="s">
        <v>8</v>
      </c>
      <c r="C75" s="59">
        <f>'for Dist.'!I28</f>
        <v>280</v>
      </c>
      <c r="D75" s="538" t="s">
        <v>43</v>
      </c>
      <c r="E75" s="51">
        <v>0</v>
      </c>
      <c r="F75" s="82">
        <v>280</v>
      </c>
      <c r="G75" s="44">
        <v>0</v>
      </c>
      <c r="H75" s="50" t="s">
        <v>43</v>
      </c>
      <c r="I75" s="220" t="s">
        <v>43</v>
      </c>
      <c r="J75" s="51" t="s">
        <v>43</v>
      </c>
      <c r="K75" s="82" t="s">
        <v>43</v>
      </c>
      <c r="L75" s="51" t="s">
        <v>43</v>
      </c>
      <c r="N75" s="140" t="s">
        <v>43</v>
      </c>
      <c r="O75" s="129" t="s">
        <v>43</v>
      </c>
      <c r="P75" s="129" t="s">
        <v>43</v>
      </c>
      <c r="Q75" s="137">
        <v>300</v>
      </c>
      <c r="R75" s="129">
        <f>Q75*F75</f>
        <v>84000</v>
      </c>
      <c r="S75" s="129">
        <f>Q75*F75</f>
        <v>84000</v>
      </c>
      <c r="T75" s="140" t="s">
        <v>43</v>
      </c>
      <c r="U75" s="226" t="s">
        <v>43</v>
      </c>
      <c r="V75" s="249" t="s">
        <v>43</v>
      </c>
      <c r="W75" s="246" t="s">
        <v>43</v>
      </c>
      <c r="X75" s="137" t="s">
        <v>43</v>
      </c>
      <c r="Y75" s="129" t="s">
        <v>43</v>
      </c>
      <c r="Z75" s="148" t="s">
        <v>43</v>
      </c>
      <c r="AA75" s="525" t="s">
        <v>161</v>
      </c>
    </row>
    <row r="76" spans="1:27" s="3" customFormat="1" x14ac:dyDescent="0.25">
      <c r="A76" s="24">
        <v>7</v>
      </c>
      <c r="B76" s="98" t="s">
        <v>26</v>
      </c>
      <c r="C76" s="60">
        <f>'for Dist.'!I29</f>
        <v>50</v>
      </c>
      <c r="D76" s="538" t="s">
        <v>43</v>
      </c>
      <c r="E76" s="51" t="s">
        <v>43</v>
      </c>
      <c r="F76" s="82">
        <v>50</v>
      </c>
      <c r="G76" s="107">
        <v>0</v>
      </c>
      <c r="H76" s="100" t="s">
        <v>43</v>
      </c>
      <c r="I76" s="220" t="s">
        <v>43</v>
      </c>
      <c r="J76" s="99" t="s">
        <v>43</v>
      </c>
      <c r="K76" s="106" t="s">
        <v>63</v>
      </c>
      <c r="L76" s="99" t="s">
        <v>63</v>
      </c>
      <c r="N76" s="140" t="s">
        <v>43</v>
      </c>
      <c r="O76" s="129" t="s">
        <v>43</v>
      </c>
      <c r="P76" s="129" t="s">
        <v>43</v>
      </c>
      <c r="Q76" s="137">
        <v>300</v>
      </c>
      <c r="R76" s="129">
        <f>F76*Q76</f>
        <v>15000</v>
      </c>
      <c r="S76" s="129">
        <f>Q76*F76</f>
        <v>15000</v>
      </c>
      <c r="T76" s="140" t="s">
        <v>43</v>
      </c>
      <c r="U76" s="227" t="s">
        <v>43</v>
      </c>
      <c r="V76" s="250" t="s">
        <v>43</v>
      </c>
      <c r="W76" s="149" t="s">
        <v>43</v>
      </c>
      <c r="X76" s="137" t="s">
        <v>43</v>
      </c>
      <c r="Y76" s="129" t="s">
        <v>43</v>
      </c>
      <c r="Z76" s="148" t="s">
        <v>43</v>
      </c>
      <c r="AA76" s="525" t="s">
        <v>161</v>
      </c>
    </row>
    <row r="77" spans="1:27" s="3" customFormat="1" x14ac:dyDescent="0.25">
      <c r="A77" s="24">
        <v>8</v>
      </c>
      <c r="B77" s="14" t="s">
        <v>9</v>
      </c>
      <c r="C77" s="57">
        <f>'for Dist.'!I30</f>
        <v>2400</v>
      </c>
      <c r="D77" s="540" t="s">
        <v>43</v>
      </c>
      <c r="E77" s="63">
        <v>0</v>
      </c>
      <c r="F77" s="83">
        <v>750</v>
      </c>
      <c r="G77" s="90">
        <v>0</v>
      </c>
      <c r="H77" s="52" t="s">
        <v>43</v>
      </c>
      <c r="I77" s="243" t="s">
        <v>43</v>
      </c>
      <c r="J77" s="53" t="s">
        <v>43</v>
      </c>
      <c r="K77" s="83" t="s">
        <v>43</v>
      </c>
      <c r="L77" s="53" t="s">
        <v>43</v>
      </c>
      <c r="N77" s="140" t="s">
        <v>43</v>
      </c>
      <c r="O77" s="131" t="s">
        <v>43</v>
      </c>
      <c r="P77" s="149" t="s">
        <v>43</v>
      </c>
      <c r="Q77" s="140">
        <v>300</v>
      </c>
      <c r="R77" s="131">
        <f>F77*Q77</f>
        <v>225000</v>
      </c>
      <c r="S77" s="149">
        <f>Q77*F77</f>
        <v>225000</v>
      </c>
      <c r="T77" s="140" t="s">
        <v>43</v>
      </c>
      <c r="U77" s="133" t="s">
        <v>43</v>
      </c>
      <c r="V77" s="250" t="s">
        <v>43</v>
      </c>
      <c r="W77" s="149" t="s">
        <v>43</v>
      </c>
      <c r="X77" s="140" t="s">
        <v>43</v>
      </c>
      <c r="Y77" s="133" t="s">
        <v>43</v>
      </c>
      <c r="Z77" s="141" t="s">
        <v>43</v>
      </c>
      <c r="AA77" s="525" t="s">
        <v>161</v>
      </c>
    </row>
    <row r="78" spans="1:27" s="3" customFormat="1" x14ac:dyDescent="0.25">
      <c r="A78" s="23"/>
      <c r="B78" s="505" t="s">
        <v>134</v>
      </c>
      <c r="C78" s="45"/>
      <c r="D78" s="541"/>
      <c r="E78" s="55"/>
      <c r="F78" s="84"/>
      <c r="G78" s="45"/>
      <c r="H78" s="54"/>
      <c r="I78" s="218"/>
      <c r="J78" s="55"/>
      <c r="K78" s="84"/>
      <c r="L78" s="55"/>
      <c r="N78" s="110"/>
      <c r="O78" s="174"/>
      <c r="P78" s="151"/>
      <c r="Q78" s="110"/>
      <c r="R78" s="174"/>
      <c r="S78" s="151"/>
      <c r="T78" s="110"/>
      <c r="U78" s="132"/>
      <c r="V78" s="251"/>
      <c r="W78" s="151"/>
      <c r="X78" s="110"/>
      <c r="Y78" s="132"/>
      <c r="Z78" s="109"/>
    </row>
    <row r="79" spans="1:27" s="3" customFormat="1" x14ac:dyDescent="0.25">
      <c r="A79" s="23"/>
      <c r="B79" s="505" t="s">
        <v>30</v>
      </c>
      <c r="C79" s="45"/>
      <c r="D79" s="541"/>
      <c r="E79" s="55"/>
      <c r="F79" s="84"/>
      <c r="G79" s="45"/>
      <c r="H79" s="54"/>
      <c r="I79" s="218"/>
      <c r="J79" s="55"/>
      <c r="K79" s="84"/>
      <c r="L79" s="55"/>
      <c r="N79" s="142"/>
      <c r="O79" s="126"/>
      <c r="P79" s="152"/>
      <c r="Q79" s="142"/>
      <c r="R79" s="126"/>
      <c r="S79" s="152"/>
      <c r="T79" s="142"/>
      <c r="U79" s="134"/>
      <c r="V79" s="238"/>
      <c r="W79" s="152"/>
      <c r="X79" s="142"/>
      <c r="Y79" s="134"/>
      <c r="Z79" s="114"/>
    </row>
    <row r="80" spans="1:27" s="3" customFormat="1" x14ac:dyDescent="0.25">
      <c r="A80" s="5">
        <v>9</v>
      </c>
      <c r="B80" s="504" t="s">
        <v>133</v>
      </c>
      <c r="C80" s="506" t="s">
        <v>53</v>
      </c>
      <c r="D80" s="506" t="s">
        <v>53</v>
      </c>
      <c r="E80" s="506" t="s">
        <v>53</v>
      </c>
      <c r="F80" s="506" t="s">
        <v>53</v>
      </c>
      <c r="G80" s="506" t="s">
        <v>53</v>
      </c>
      <c r="H80" s="506" t="s">
        <v>53</v>
      </c>
      <c r="I80" s="506" t="s">
        <v>53</v>
      </c>
      <c r="J80" s="506" t="s">
        <v>53</v>
      </c>
      <c r="K80" s="506" t="s">
        <v>53</v>
      </c>
      <c r="L80" s="506" t="s">
        <v>53</v>
      </c>
      <c r="N80" s="142" t="s">
        <v>53</v>
      </c>
      <c r="O80" s="126" t="s">
        <v>53</v>
      </c>
      <c r="P80" s="152" t="s">
        <v>53</v>
      </c>
      <c r="Q80" s="142" t="s">
        <v>53</v>
      </c>
      <c r="R80" s="126" t="s">
        <v>53</v>
      </c>
      <c r="S80" s="152" t="s">
        <v>53</v>
      </c>
      <c r="T80" s="142" t="s">
        <v>53</v>
      </c>
      <c r="U80" s="134" t="s">
        <v>53</v>
      </c>
      <c r="V80" s="238" t="s">
        <v>53</v>
      </c>
      <c r="W80" s="152" t="s">
        <v>53</v>
      </c>
      <c r="X80" s="142" t="s">
        <v>53</v>
      </c>
      <c r="Y80" s="126" t="s">
        <v>53</v>
      </c>
      <c r="Z80" s="114" t="s">
        <v>53</v>
      </c>
    </row>
    <row r="81" spans="1:31" s="3" customFormat="1" x14ac:dyDescent="0.25">
      <c r="A81" s="5">
        <v>10</v>
      </c>
      <c r="B81" s="5" t="s">
        <v>32</v>
      </c>
      <c r="C81" s="59">
        <f>'for Dist.'!I34</f>
        <v>1050</v>
      </c>
      <c r="D81" s="56">
        <f>C81*D68</f>
        <v>157.5</v>
      </c>
      <c r="E81" s="49">
        <f>C81-D81</f>
        <v>892.5</v>
      </c>
      <c r="F81" s="85">
        <f>C81*F68</f>
        <v>367.5</v>
      </c>
      <c r="G81" s="89">
        <f>E81-F81</f>
        <v>525</v>
      </c>
      <c r="H81" s="56">
        <f>C81*H68</f>
        <v>105</v>
      </c>
      <c r="I81" s="56">
        <f>G81*I68</f>
        <v>52.5</v>
      </c>
      <c r="J81" s="49">
        <f>G81-H81-I81</f>
        <v>367.5</v>
      </c>
      <c r="K81" s="85">
        <f>C81*K68</f>
        <v>105</v>
      </c>
      <c r="L81" s="49">
        <f>J81-K81</f>
        <v>262.5</v>
      </c>
      <c r="N81" s="173" t="s">
        <v>43</v>
      </c>
      <c r="O81" s="129" t="s">
        <v>43</v>
      </c>
      <c r="P81" s="172" t="s">
        <v>43</v>
      </c>
      <c r="Q81" s="173" t="s">
        <v>43</v>
      </c>
      <c r="R81" s="129" t="s">
        <v>43</v>
      </c>
      <c r="S81" s="172" t="s">
        <v>43</v>
      </c>
      <c r="T81" s="137" t="s">
        <v>43</v>
      </c>
      <c r="U81" s="225" t="s">
        <v>43</v>
      </c>
      <c r="V81" s="248" t="s">
        <v>43</v>
      </c>
      <c r="W81" s="172" t="s">
        <v>43</v>
      </c>
      <c r="X81" s="137" t="s">
        <v>43</v>
      </c>
      <c r="Y81" s="129" t="s">
        <v>43</v>
      </c>
      <c r="Z81" s="138" t="s">
        <v>43</v>
      </c>
    </row>
    <row r="82" spans="1:31" s="3" customFormat="1" x14ac:dyDescent="0.25">
      <c r="A82" s="5">
        <v>11</v>
      </c>
      <c r="B82" s="5" t="s">
        <v>56</v>
      </c>
      <c r="C82" s="59">
        <f>'for Dist.'!I35</f>
        <v>100</v>
      </c>
      <c r="D82" s="56">
        <f>C82*D68</f>
        <v>15</v>
      </c>
      <c r="E82" s="86">
        <f>C82-D82</f>
        <v>85</v>
      </c>
      <c r="F82" s="85">
        <f>C82*F68</f>
        <v>35</v>
      </c>
      <c r="G82" s="91">
        <f>E82-F82</f>
        <v>50</v>
      </c>
      <c r="H82" s="56">
        <f>C82*H68</f>
        <v>10</v>
      </c>
      <c r="I82" s="56">
        <f>G82*I68</f>
        <v>5</v>
      </c>
      <c r="J82" s="86">
        <f>G82-H82-I82</f>
        <v>35</v>
      </c>
      <c r="K82" s="85">
        <f>C82*K68</f>
        <v>10</v>
      </c>
      <c r="L82" s="86">
        <f>J82-K82</f>
        <v>25</v>
      </c>
      <c r="N82" s="137">
        <f>0.1*N50</f>
        <v>300</v>
      </c>
      <c r="O82" s="129">
        <f>D82*N82</f>
        <v>4500</v>
      </c>
      <c r="P82" s="129">
        <f>C82*N82</f>
        <v>30000</v>
      </c>
      <c r="Q82" s="137">
        <f>0.1*Q50</f>
        <v>300</v>
      </c>
      <c r="R82" s="129">
        <f>F82*N82</f>
        <v>10500</v>
      </c>
      <c r="S82" s="129">
        <f>E82*Q82</f>
        <v>25500</v>
      </c>
      <c r="T82" s="137">
        <f>0.1*T50</f>
        <v>300</v>
      </c>
      <c r="U82" s="226">
        <f>H82*T82</f>
        <v>3000</v>
      </c>
      <c r="V82" s="249">
        <f>I82*T82</f>
        <v>1500</v>
      </c>
      <c r="W82" s="245">
        <f>G82*T82</f>
        <v>15000</v>
      </c>
      <c r="X82" s="137">
        <f>0.1*X50</f>
        <v>300</v>
      </c>
      <c r="Y82" s="130">
        <f>K82*X82</f>
        <v>3000</v>
      </c>
      <c r="Z82" s="139">
        <f>X82*J82</f>
        <v>10500</v>
      </c>
      <c r="AA82" s="525" t="s">
        <v>161</v>
      </c>
    </row>
    <row r="83" spans="1:31" s="3" customFormat="1" x14ac:dyDescent="0.25">
      <c r="A83" s="5">
        <v>12</v>
      </c>
      <c r="B83" s="5" t="s">
        <v>45</v>
      </c>
      <c r="C83" s="59">
        <v>300</v>
      </c>
      <c r="D83" s="50" t="s">
        <v>43</v>
      </c>
      <c r="E83" s="86" t="s">
        <v>43</v>
      </c>
      <c r="F83" s="85">
        <v>300</v>
      </c>
      <c r="G83" s="91">
        <v>0</v>
      </c>
      <c r="H83" s="56" t="s">
        <v>43</v>
      </c>
      <c r="I83" s="242" t="s">
        <v>43</v>
      </c>
      <c r="J83" s="86" t="s">
        <v>43</v>
      </c>
      <c r="K83" s="85" t="s">
        <v>43</v>
      </c>
      <c r="L83" s="86" t="s">
        <v>43</v>
      </c>
      <c r="N83" s="173" t="s">
        <v>43</v>
      </c>
      <c r="O83" s="129" t="s">
        <v>43</v>
      </c>
      <c r="P83" s="172" t="s">
        <v>43</v>
      </c>
      <c r="Q83" s="137" t="s">
        <v>43</v>
      </c>
      <c r="R83" s="129" t="s">
        <v>43</v>
      </c>
      <c r="S83" s="172" t="s">
        <v>43</v>
      </c>
      <c r="T83" s="137" t="s">
        <v>43</v>
      </c>
      <c r="U83" s="225" t="s">
        <v>43</v>
      </c>
      <c r="V83" s="248" t="s">
        <v>43</v>
      </c>
      <c r="W83" s="172" t="s">
        <v>43</v>
      </c>
      <c r="X83" s="137" t="s">
        <v>43</v>
      </c>
      <c r="Y83" s="129" t="s">
        <v>43</v>
      </c>
      <c r="Z83" s="138" t="s">
        <v>43</v>
      </c>
      <c r="AA83" s="525" t="s">
        <v>161</v>
      </c>
    </row>
    <row r="84" spans="1:31" s="3" customFormat="1" x14ac:dyDescent="0.25">
      <c r="A84" s="5">
        <v>13</v>
      </c>
      <c r="B84" s="102" t="s">
        <v>62</v>
      </c>
      <c r="C84" s="59">
        <v>600</v>
      </c>
      <c r="D84" s="50" t="s">
        <v>43</v>
      </c>
      <c r="E84" s="86" t="s">
        <v>43</v>
      </c>
      <c r="F84" s="85" t="s">
        <v>43</v>
      </c>
      <c r="G84" s="91" t="s">
        <v>43</v>
      </c>
      <c r="H84" s="56">
        <v>600</v>
      </c>
      <c r="I84" s="224">
        <v>0</v>
      </c>
      <c r="J84" s="86">
        <v>0</v>
      </c>
      <c r="K84" s="216" t="s">
        <v>43</v>
      </c>
      <c r="L84" s="217" t="s">
        <v>43</v>
      </c>
      <c r="N84" s="173" t="s">
        <v>43</v>
      </c>
      <c r="O84" s="129" t="s">
        <v>43</v>
      </c>
      <c r="P84" s="172" t="s">
        <v>43</v>
      </c>
      <c r="Q84" s="173" t="s">
        <v>43</v>
      </c>
      <c r="R84" s="129" t="s">
        <v>43</v>
      </c>
      <c r="S84" s="172" t="s">
        <v>43</v>
      </c>
      <c r="T84" s="137">
        <v>0</v>
      </c>
      <c r="U84" s="225">
        <f>H84*T84</f>
        <v>0</v>
      </c>
      <c r="V84" s="248" t="s">
        <v>43</v>
      </c>
      <c r="W84" s="172">
        <f>C84*T84</f>
        <v>0</v>
      </c>
      <c r="X84" s="137" t="s">
        <v>43</v>
      </c>
      <c r="Y84" s="129" t="s">
        <v>43</v>
      </c>
      <c r="Z84" s="138" t="s">
        <v>43</v>
      </c>
      <c r="AA84" s="525" t="s">
        <v>161</v>
      </c>
      <c r="AB84" s="1"/>
      <c r="AC84" s="1"/>
      <c r="AD84" s="1"/>
      <c r="AE84" s="1"/>
    </row>
    <row r="85" spans="1:31" x14ac:dyDescent="0.25">
      <c r="A85" s="5">
        <v>14</v>
      </c>
      <c r="B85" s="5" t="s">
        <v>50</v>
      </c>
      <c r="C85" s="44" t="s">
        <v>43</v>
      </c>
      <c r="D85" s="50" t="s">
        <v>43</v>
      </c>
      <c r="E85" s="86" t="s">
        <v>52</v>
      </c>
      <c r="F85" s="82" t="s">
        <v>43</v>
      </c>
      <c r="G85" s="91" t="s">
        <v>53</v>
      </c>
      <c r="H85" s="50" t="s">
        <v>43</v>
      </c>
      <c r="I85" s="220" t="s">
        <v>43</v>
      </c>
      <c r="J85" s="86" t="s">
        <v>43</v>
      </c>
      <c r="K85" s="82" t="s">
        <v>43</v>
      </c>
      <c r="L85" s="86" t="s">
        <v>43</v>
      </c>
      <c r="N85" s="173" t="s">
        <v>43</v>
      </c>
      <c r="O85" s="129" t="s">
        <v>43</v>
      </c>
      <c r="P85" s="172" t="s">
        <v>43</v>
      </c>
      <c r="Q85" s="173" t="s">
        <v>43</v>
      </c>
      <c r="R85" s="129" t="s">
        <v>43</v>
      </c>
      <c r="S85" s="172" t="s">
        <v>43</v>
      </c>
      <c r="T85" s="137" t="s">
        <v>43</v>
      </c>
      <c r="U85" s="225" t="s">
        <v>43</v>
      </c>
      <c r="V85" s="248" t="s">
        <v>43</v>
      </c>
      <c r="W85" s="172" t="s">
        <v>43</v>
      </c>
      <c r="X85" s="137" t="s">
        <v>43</v>
      </c>
      <c r="Y85" s="129" t="s">
        <v>43</v>
      </c>
      <c r="Z85" s="138" t="s">
        <v>43</v>
      </c>
    </row>
    <row r="86" spans="1:31" ht="16.5" thickBot="1" x14ac:dyDescent="0.3">
      <c r="A86" s="5">
        <v>15</v>
      </c>
      <c r="B86" s="504" t="s">
        <v>157</v>
      </c>
      <c r="C86" s="92" t="s">
        <v>43</v>
      </c>
      <c r="D86" s="93" t="s">
        <v>43</v>
      </c>
      <c r="E86" s="94">
        <v>600</v>
      </c>
      <c r="F86" s="95">
        <v>600</v>
      </c>
      <c r="G86" s="96" t="s">
        <v>43</v>
      </c>
      <c r="H86" s="93" t="s">
        <v>43</v>
      </c>
      <c r="I86" s="241" t="s">
        <v>43</v>
      </c>
      <c r="J86" s="94" t="s">
        <v>43</v>
      </c>
      <c r="K86" s="95" t="s">
        <v>43</v>
      </c>
      <c r="L86" s="94" t="s">
        <v>43</v>
      </c>
      <c r="N86" s="143" t="s">
        <v>43</v>
      </c>
      <c r="O86" s="144" t="s">
        <v>43</v>
      </c>
      <c r="P86" s="154" t="s">
        <v>43</v>
      </c>
      <c r="Q86" s="143" t="s">
        <v>43</v>
      </c>
      <c r="R86" s="144" t="s">
        <v>43</v>
      </c>
      <c r="S86" s="154" t="s">
        <v>43</v>
      </c>
      <c r="T86" s="143" t="s">
        <v>43</v>
      </c>
      <c r="U86" s="228" t="s">
        <v>43</v>
      </c>
      <c r="V86" s="252" t="s">
        <v>43</v>
      </c>
      <c r="W86" s="247" t="s">
        <v>43</v>
      </c>
      <c r="X86" s="146" t="s">
        <v>43</v>
      </c>
      <c r="Y86" s="144" t="s">
        <v>43</v>
      </c>
      <c r="Z86" s="145" t="s">
        <v>43</v>
      </c>
    </row>
    <row r="88" spans="1:31" x14ac:dyDescent="0.25">
      <c r="O88" s="123">
        <f>SUM(O70:O86)</f>
        <v>27000</v>
      </c>
      <c r="P88" s="123">
        <f>SUM(P70:P86)</f>
        <v>180000</v>
      </c>
      <c r="R88" s="123">
        <f>SUM(R70:R86)</f>
        <v>477000</v>
      </c>
      <c r="S88" s="123">
        <f>SUM(S70:S86)</f>
        <v>567000</v>
      </c>
      <c r="T88" s="123"/>
      <c r="U88" s="123">
        <f>SUM(U70:U86)</f>
        <v>63000</v>
      </c>
      <c r="V88" s="123">
        <f>SUM(V70:V87)</f>
        <v>9000</v>
      </c>
      <c r="W88" s="123">
        <f>SUM(W70:W86)</f>
        <v>135000</v>
      </c>
      <c r="X88" s="123"/>
      <c r="Y88" s="123">
        <f>SUM(Y70:Y86)</f>
        <v>18000</v>
      </c>
      <c r="Z88" s="123">
        <f>SUM(Z70:Z86)</f>
        <v>63000</v>
      </c>
    </row>
    <row r="90" spans="1:31" x14ac:dyDescent="0.25">
      <c r="O90" s="157">
        <f>O88/P88</f>
        <v>0.15</v>
      </c>
      <c r="R90" s="157">
        <f>R88/S88</f>
        <v>0.84126984126984128</v>
      </c>
      <c r="U90" s="157">
        <f>(U88+V88)/W88</f>
        <v>0.53333333333333333</v>
      </c>
      <c r="V90" s="157"/>
      <c r="Y90" s="157">
        <f>Y88/Z88</f>
        <v>0.2857142857142857</v>
      </c>
    </row>
    <row r="92" spans="1:31" x14ac:dyDescent="0.25">
      <c r="O92" s="1" t="s">
        <v>42</v>
      </c>
      <c r="P92" s="1" t="s">
        <v>125</v>
      </c>
      <c r="R92" s="1" t="s">
        <v>42</v>
      </c>
      <c r="S92" s="1" t="s">
        <v>125</v>
      </c>
      <c r="U92" s="1" t="s">
        <v>42</v>
      </c>
      <c r="V92" s="1" t="s">
        <v>126</v>
      </c>
      <c r="W92" s="1" t="s">
        <v>125</v>
      </c>
      <c r="Y92" s="1" t="s">
        <v>42</v>
      </c>
      <c r="Z92" s="1" t="s">
        <v>125</v>
      </c>
    </row>
    <row r="93" spans="1:31" x14ac:dyDescent="0.25">
      <c r="J93" s="1" t="s">
        <v>72</v>
      </c>
      <c r="L93" s="1" t="s">
        <v>127</v>
      </c>
      <c r="O93" s="123">
        <f>O18+O43+O64+O88</f>
        <v>4236000</v>
      </c>
      <c r="P93" s="123">
        <f>P18+P43+P64+P88</f>
        <v>28110000</v>
      </c>
      <c r="Q93" s="157">
        <f>O93/P93</f>
        <v>0.15069370330843115</v>
      </c>
      <c r="R93" s="123">
        <f>R18+R43+R64+R88</f>
        <v>17374000</v>
      </c>
      <c r="S93" s="123">
        <f>S18+S43+S64+S88</f>
        <v>25144000</v>
      </c>
      <c r="T93" s="157">
        <f>R93/S93</f>
        <v>0.69097995545657021</v>
      </c>
      <c r="U93" s="123">
        <f>U18+U43+U64+U88</f>
        <v>3229000</v>
      </c>
      <c r="V93" s="123">
        <f>V18+V43+V64+V88</f>
        <v>783000</v>
      </c>
      <c r="W93" s="123">
        <f>W18+W43+W64+W88</f>
        <v>8400000</v>
      </c>
      <c r="X93" s="157">
        <f>U93/W93</f>
        <v>0.38440476190476192</v>
      </c>
      <c r="Y93" s="123">
        <f>Y18+Y43+Y64+Y88</f>
        <v>2824000</v>
      </c>
      <c r="Z93" s="123">
        <f>Z18+Z43+Z64+Z88</f>
        <v>4388000</v>
      </c>
      <c r="AA93" s="157">
        <f>Y93/Z93</f>
        <v>0.64357338195077485</v>
      </c>
    </row>
    <row r="94" spans="1:31" x14ac:dyDescent="0.25">
      <c r="L94" s="1" t="s">
        <v>128</v>
      </c>
      <c r="O94" s="494">
        <f>O18+O64</f>
        <v>4146000</v>
      </c>
      <c r="P94" s="494">
        <f>P18+P64</f>
        <v>27450000</v>
      </c>
      <c r="Q94" s="157">
        <f>O94/P94</f>
        <v>0.15103825136612023</v>
      </c>
      <c r="R94" s="494">
        <f>R18+R64</f>
        <v>15774000</v>
      </c>
      <c r="S94" s="494">
        <f>S18+S64</f>
        <v>23304000</v>
      </c>
      <c r="T94" s="157">
        <f>R94/S94</f>
        <v>0.67687950566426369</v>
      </c>
      <c r="U94" s="494">
        <f>U18+U64</f>
        <v>2599000</v>
      </c>
      <c r="V94" s="494">
        <f>V18+V64</f>
        <v>753000</v>
      </c>
      <c r="W94" s="494">
        <f>W18+W64</f>
        <v>7530000</v>
      </c>
      <c r="X94" s="157">
        <f>U94/W94</f>
        <v>0.3451527224435591</v>
      </c>
      <c r="Y94" s="494">
        <f>Y18+Y64</f>
        <v>2764000</v>
      </c>
      <c r="Z94" s="494">
        <f>Z18+Z64</f>
        <v>4178000</v>
      </c>
      <c r="AA94" s="157">
        <f>Y94/Z94</f>
        <v>0.66156055528961222</v>
      </c>
    </row>
    <row r="95" spans="1:31" x14ac:dyDescent="0.25">
      <c r="L95" s="1" t="s">
        <v>129</v>
      </c>
      <c r="O95" s="494">
        <f>O93-O94</f>
        <v>90000</v>
      </c>
      <c r="P95" s="494">
        <f>P93-P94</f>
        <v>660000</v>
      </c>
      <c r="Q95" s="157">
        <f>O95/P95</f>
        <v>0.13636363636363635</v>
      </c>
      <c r="R95" s="494">
        <f>R93-R94</f>
        <v>1600000</v>
      </c>
      <c r="S95" s="494">
        <f>S93-S94</f>
        <v>1840000</v>
      </c>
      <c r="T95" s="157"/>
      <c r="U95" s="494">
        <f>U93-U94</f>
        <v>630000</v>
      </c>
      <c r="V95" s="494">
        <f>V93-V94</f>
        <v>30000</v>
      </c>
      <c r="W95" s="494">
        <f>W93-W94</f>
        <v>870000</v>
      </c>
      <c r="X95" s="157"/>
      <c r="Y95" s="494">
        <f>Y93-Y94</f>
        <v>60000</v>
      </c>
      <c r="Z95" s="494">
        <f>Z93-Z94</f>
        <v>210000</v>
      </c>
      <c r="AA95" s="157"/>
    </row>
    <row r="96" spans="1:31" x14ac:dyDescent="0.25">
      <c r="O96" s="123"/>
      <c r="P96" s="123"/>
      <c r="R96" s="123"/>
      <c r="S96" s="123"/>
      <c r="U96" s="123"/>
      <c r="V96" s="123"/>
      <c r="W96" s="123"/>
      <c r="Y96" s="123"/>
      <c r="Z96" s="123"/>
    </row>
    <row r="97" spans="15:26" x14ac:dyDescent="0.25">
      <c r="O97" s="123"/>
      <c r="P97" s="123"/>
      <c r="R97" s="123"/>
      <c r="S97" s="123"/>
      <c r="U97" s="123"/>
      <c r="V97" s="123"/>
      <c r="W97" s="123"/>
      <c r="Y97" s="123"/>
      <c r="Z97" s="123"/>
    </row>
    <row r="98" spans="15:26" x14ac:dyDescent="0.25">
      <c r="O98" s="1" t="s">
        <v>73</v>
      </c>
      <c r="U98" s="123"/>
      <c r="V98" s="123"/>
    </row>
    <row r="99" spans="15:26" x14ac:dyDescent="0.25">
      <c r="O99" s="1" t="s">
        <v>74</v>
      </c>
    </row>
    <row r="100" spans="15:26" x14ac:dyDescent="0.25">
      <c r="O100" s="1" t="s">
        <v>75</v>
      </c>
    </row>
    <row r="101" spans="15:26" x14ac:dyDescent="0.25">
      <c r="R101" s="157">
        <f>R93/S93</f>
        <v>0.69097995545657021</v>
      </c>
      <c r="U101" s="157">
        <f>U93/W93</f>
        <v>0.38440476190476192</v>
      </c>
      <c r="V101" s="157"/>
      <c r="Y101" s="157">
        <f>Y93/Z93</f>
        <v>0.64357338195077485</v>
      </c>
    </row>
    <row r="106" spans="15:26" x14ac:dyDescent="0.25">
      <c r="O106" s="123"/>
    </row>
    <row r="107" spans="15:26" x14ac:dyDescent="0.25">
      <c r="O107" s="123"/>
    </row>
    <row r="108" spans="15:26" x14ac:dyDescent="0.25">
      <c r="O108" s="123"/>
    </row>
    <row r="109" spans="15:26" x14ac:dyDescent="0.25">
      <c r="O109" s="123"/>
    </row>
  </sheetData>
  <mergeCells count="8">
    <mergeCell ref="D3:E3"/>
    <mergeCell ref="F3:G3"/>
    <mergeCell ref="H3:J3"/>
    <mergeCell ref="K3:L3"/>
    <mergeCell ref="D48:E48"/>
    <mergeCell ref="F48:G48"/>
    <mergeCell ref="H48:J48"/>
    <mergeCell ref="K48:L48"/>
  </mergeCells>
  <pageMargins left="0.23622047244094491" right="0.15748031496062992" top="0.44" bottom="0.28000000000000003" header="0.31496062992125984" footer="0.17"/>
  <pageSetup paperSize="9" scale="44" orientation="landscape" r:id="rId1"/>
  <rowBreaks count="1" manualBreakCount="1">
    <brk id="46" max="25" man="1"/>
  </rowBreaks>
  <colBreaks count="1" manualBreakCount="1">
    <brk id="2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4:P12"/>
  <sheetViews>
    <sheetView zoomScale="90" zoomScaleNormal="90" workbookViewId="0">
      <selection activeCell="F10" sqref="F10"/>
    </sheetView>
  </sheetViews>
  <sheetFormatPr defaultRowHeight="15.75" x14ac:dyDescent="0.25"/>
  <cols>
    <col min="1" max="3" width="9.140625" style="1"/>
    <col min="4" max="4" width="14.5703125" style="1" bestFit="1" customWidth="1"/>
    <col min="5" max="5" width="15.7109375" style="1" bestFit="1" customWidth="1"/>
    <col min="6" max="6" width="9.140625" style="1"/>
    <col min="7" max="8" width="15.7109375" style="1" bestFit="1" customWidth="1"/>
    <col min="9" max="9" width="9.140625" style="1"/>
    <col min="10" max="11" width="14.5703125" style="1" bestFit="1" customWidth="1"/>
    <col min="12" max="12" width="15.7109375" style="1" bestFit="1" customWidth="1"/>
    <col min="13" max="13" width="9.140625" style="1"/>
    <col min="14" max="15" width="14.5703125" style="1" bestFit="1" customWidth="1"/>
    <col min="16" max="16" width="4.85546875" style="1" bestFit="1" customWidth="1"/>
    <col min="17" max="16384" width="9.140625" style="1"/>
  </cols>
  <sheetData>
    <row r="4" spans="1:16" x14ac:dyDescent="0.25">
      <c r="A4" s="652"/>
      <c r="B4" s="653"/>
      <c r="C4" s="654"/>
      <c r="D4" s="651" t="s">
        <v>77</v>
      </c>
      <c r="E4" s="651"/>
      <c r="F4" s="651"/>
      <c r="G4" s="651" t="s">
        <v>102</v>
      </c>
      <c r="H4" s="651"/>
      <c r="I4" s="651"/>
      <c r="J4" s="651" t="s">
        <v>136</v>
      </c>
      <c r="K4" s="651"/>
      <c r="L4" s="651"/>
      <c r="M4" s="651"/>
      <c r="N4" s="651" t="s">
        <v>67</v>
      </c>
      <c r="O4" s="651"/>
      <c r="P4" s="651"/>
    </row>
    <row r="5" spans="1:16" x14ac:dyDescent="0.25">
      <c r="A5" s="655"/>
      <c r="B5" s="656"/>
      <c r="C5" s="657"/>
      <c r="D5" s="507" t="s">
        <v>42</v>
      </c>
      <c r="E5" s="507" t="s">
        <v>125</v>
      </c>
      <c r="F5" s="507" t="s">
        <v>135</v>
      </c>
      <c r="G5" s="507" t="s">
        <v>42</v>
      </c>
      <c r="H5" s="507" t="s">
        <v>125</v>
      </c>
      <c r="I5" s="507" t="s">
        <v>135</v>
      </c>
      <c r="J5" s="507" t="s">
        <v>42</v>
      </c>
      <c r="K5" s="507" t="s">
        <v>126</v>
      </c>
      <c r="L5" s="507" t="s">
        <v>125</v>
      </c>
      <c r="M5" s="507" t="s">
        <v>135</v>
      </c>
      <c r="N5" s="507" t="s">
        <v>42</v>
      </c>
      <c r="O5" s="507" t="s">
        <v>125</v>
      </c>
      <c r="P5" s="507" t="s">
        <v>135</v>
      </c>
    </row>
    <row r="6" spans="1:16" x14ac:dyDescent="0.25">
      <c r="A6" s="4" t="s">
        <v>128</v>
      </c>
      <c r="B6" s="4"/>
      <c r="C6" s="4"/>
      <c r="D6" s="508">
        <f>nEWS!O94</f>
        <v>4146000</v>
      </c>
      <c r="E6" s="508">
        <f>nEWS!P94</f>
        <v>27450000</v>
      </c>
      <c r="F6" s="509">
        <f>D6/E6</f>
        <v>0.15103825136612023</v>
      </c>
      <c r="G6" s="508">
        <f>nEWS!R94</f>
        <v>15774000</v>
      </c>
      <c r="H6" s="508">
        <f>nEWS!S94</f>
        <v>23304000</v>
      </c>
      <c r="I6" s="509">
        <f>G6/H6</f>
        <v>0.67687950566426369</v>
      </c>
      <c r="J6" s="508">
        <f>nEWS!U94</f>
        <v>2599000</v>
      </c>
      <c r="K6" s="508">
        <f>nEWS!V94</f>
        <v>753000</v>
      </c>
      <c r="L6" s="508">
        <f>nEWS!W94</f>
        <v>7530000</v>
      </c>
      <c r="M6" s="509">
        <f>J6/L6</f>
        <v>0.3451527224435591</v>
      </c>
      <c r="N6" s="508">
        <f>nEWS!Y94</f>
        <v>2764000</v>
      </c>
      <c r="O6" s="508">
        <f>nEWS!Z94</f>
        <v>4178000</v>
      </c>
      <c r="P6" s="509">
        <f>N6/O6</f>
        <v>0.66156055528961222</v>
      </c>
    </row>
    <row r="7" spans="1:16" x14ac:dyDescent="0.25">
      <c r="A7" s="4" t="s">
        <v>129</v>
      </c>
      <c r="B7" s="4"/>
      <c r="C7" s="4"/>
      <c r="D7" s="508">
        <f>D8-D6</f>
        <v>90000</v>
      </c>
      <c r="E7" s="508">
        <f>E8-E6</f>
        <v>660000</v>
      </c>
      <c r="F7" s="509">
        <f>D7/E7</f>
        <v>0.13636363636363635</v>
      </c>
      <c r="G7" s="508">
        <f>G8-G6</f>
        <v>1600000</v>
      </c>
      <c r="H7" s="508">
        <f>H8-H6</f>
        <v>1840000</v>
      </c>
      <c r="I7" s="509">
        <f>G7/H7</f>
        <v>0.86956521739130432</v>
      </c>
      <c r="J7" s="508">
        <f>J8-J6</f>
        <v>630000</v>
      </c>
      <c r="K7" s="508">
        <f>K8-K6</f>
        <v>30000</v>
      </c>
      <c r="L7" s="508">
        <f>L8-L6</f>
        <v>870000</v>
      </c>
      <c r="M7" s="509">
        <f>J7/L7</f>
        <v>0.72413793103448276</v>
      </c>
      <c r="N7" s="508">
        <f>N8-N6</f>
        <v>60000</v>
      </c>
      <c r="O7" s="508">
        <f>O8-O6</f>
        <v>210000</v>
      </c>
      <c r="P7" s="509">
        <f>N7/O7</f>
        <v>0.2857142857142857</v>
      </c>
    </row>
    <row r="8" spans="1:16" x14ac:dyDescent="0.25">
      <c r="A8" s="4" t="s">
        <v>127</v>
      </c>
      <c r="B8" s="4"/>
      <c r="C8" s="4"/>
      <c r="D8" s="508">
        <f>nEWS!O93</f>
        <v>4236000</v>
      </c>
      <c r="E8" s="508">
        <f>nEWS!P93</f>
        <v>28110000</v>
      </c>
      <c r="F8" s="509">
        <f>D8/E8</f>
        <v>0.15069370330843115</v>
      </c>
      <c r="G8" s="508">
        <f>nEWS!R93</f>
        <v>17374000</v>
      </c>
      <c r="H8" s="508">
        <f>nEWS!S93</f>
        <v>25144000</v>
      </c>
      <c r="I8" s="509">
        <f>G8/H8</f>
        <v>0.69097995545657021</v>
      </c>
      <c r="J8" s="508">
        <f>nEWS!U93</f>
        <v>3229000</v>
      </c>
      <c r="K8" s="508">
        <f>nEWS!V93</f>
        <v>783000</v>
      </c>
      <c r="L8" s="508">
        <f>nEWS!W93</f>
        <v>8400000</v>
      </c>
      <c r="M8" s="509">
        <f>J8/L8</f>
        <v>0.38440476190476192</v>
      </c>
      <c r="N8" s="508">
        <f>nEWS!Y93</f>
        <v>2824000</v>
      </c>
      <c r="O8" s="508">
        <f>nEWS!Z93</f>
        <v>4388000</v>
      </c>
      <c r="P8" s="509">
        <f>N8/O8</f>
        <v>0.64357338195077485</v>
      </c>
    </row>
    <row r="11" spans="1:16" x14ac:dyDescent="0.25">
      <c r="D11" s="123"/>
      <c r="E11" s="123"/>
      <c r="G11" s="123"/>
      <c r="H11" s="123"/>
      <c r="J11" s="123"/>
      <c r="K11" s="123"/>
      <c r="L11" s="123"/>
      <c r="N11" s="123"/>
      <c r="O11" s="123"/>
    </row>
    <row r="12" spans="1:16" x14ac:dyDescent="0.25">
      <c r="D12" s="123"/>
      <c r="E12" s="123"/>
      <c r="G12" s="123"/>
      <c r="H12" s="123"/>
      <c r="J12" s="123"/>
      <c r="K12" s="123"/>
      <c r="L12" s="123"/>
      <c r="N12" s="123"/>
      <c r="O12" s="123"/>
    </row>
  </sheetData>
  <mergeCells count="5">
    <mergeCell ref="D4:F4"/>
    <mergeCell ref="G4:I4"/>
    <mergeCell ref="J4:M4"/>
    <mergeCell ref="N4:P4"/>
    <mergeCell ref="A4: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zoomScale="80" zoomScaleNormal="80" workbookViewId="0">
      <selection activeCell="E24" sqref="E24"/>
    </sheetView>
  </sheetViews>
  <sheetFormatPr defaultRowHeight="15.75" x14ac:dyDescent="0.25"/>
  <cols>
    <col min="1" max="1" width="4.7109375" style="1" customWidth="1"/>
    <col min="2" max="2" width="33.5703125" style="1" bestFit="1" customWidth="1"/>
    <col min="3" max="3" width="14.7109375" style="1" bestFit="1" customWidth="1"/>
    <col min="4" max="4" width="10" style="1" customWidth="1"/>
    <col min="5" max="5" width="16.7109375" style="1" bestFit="1" customWidth="1"/>
    <col min="6" max="6" width="10.5703125" style="1" bestFit="1" customWidth="1"/>
    <col min="7" max="7" width="16.28515625" style="1" bestFit="1" customWidth="1"/>
    <col min="8" max="8" width="9.5703125" style="1" bestFit="1" customWidth="1"/>
    <col min="9" max="9" width="16.85546875" style="1" bestFit="1" customWidth="1"/>
    <col min="10" max="10" width="4.7109375" style="1" customWidth="1"/>
    <col min="11" max="11" width="10.85546875" style="1" customWidth="1"/>
    <col min="12" max="12" width="15.7109375" style="1" bestFit="1" customWidth="1"/>
    <col min="13" max="13" width="18.140625" style="1" customWidth="1"/>
    <col min="14" max="14" width="10.42578125" style="1" bestFit="1" customWidth="1"/>
    <col min="15" max="15" width="17.7109375" style="1" bestFit="1" customWidth="1"/>
    <col min="16" max="16" width="16.5703125" style="1" customWidth="1"/>
    <col min="17" max="17" width="13.28515625" style="1" customWidth="1"/>
    <col min="18" max="18" width="14.5703125" style="1" bestFit="1" customWidth="1"/>
    <col min="19" max="19" width="16.28515625" style="1" bestFit="1" customWidth="1"/>
    <col min="20" max="27" width="4.42578125" style="1" customWidth="1"/>
    <col min="28" max="28" width="4.85546875" style="1" customWidth="1"/>
    <col min="29" max="29" width="31.140625" style="1" bestFit="1" customWidth="1"/>
    <col min="30" max="30" width="15.42578125" style="1" bestFit="1" customWidth="1"/>
    <col min="31" max="31" width="9.7109375" style="1" bestFit="1" customWidth="1"/>
    <col min="32" max="32" width="16.85546875" style="1" bestFit="1" customWidth="1"/>
    <col min="33" max="33" width="9.140625" style="1"/>
    <col min="34" max="34" width="10.42578125" style="1" bestFit="1" customWidth="1"/>
    <col min="35" max="35" width="31.140625" style="1" bestFit="1" customWidth="1"/>
    <col min="36" max="36" width="14.7109375" style="1" bestFit="1" customWidth="1"/>
    <col min="37" max="37" width="9.7109375" style="1" bestFit="1" customWidth="1"/>
    <col min="38" max="38" width="16.85546875" style="1" bestFit="1" customWidth="1"/>
    <col min="39" max="16384" width="9.140625" style="1"/>
  </cols>
  <sheetData>
    <row r="1" spans="1:34" x14ac:dyDescent="0.25">
      <c r="B1" s="39" t="s">
        <v>22</v>
      </c>
    </row>
    <row r="3" spans="1:34" x14ac:dyDescent="0.25">
      <c r="A3" s="11"/>
      <c r="B3" s="37" t="s">
        <v>20</v>
      </c>
      <c r="C3" s="12"/>
      <c r="D3" s="12"/>
      <c r="E3" s="12"/>
      <c r="F3" s="12"/>
      <c r="G3" s="11"/>
      <c r="H3" s="11"/>
      <c r="I3" s="11"/>
      <c r="AD3" s="11"/>
      <c r="AE3" s="11"/>
      <c r="AF3" s="12"/>
      <c r="AG3" s="11"/>
      <c r="AH3" s="11"/>
    </row>
    <row r="4" spans="1:34" ht="16.5" thickBot="1" x14ac:dyDescent="0.3">
      <c r="A4" s="3"/>
      <c r="B4" s="3"/>
      <c r="C4" s="71"/>
      <c r="D4" s="72">
        <v>0.15</v>
      </c>
      <c r="E4" s="158" t="s">
        <v>77</v>
      </c>
      <c r="F4" s="72">
        <v>0.1</v>
      </c>
      <c r="G4" s="101" t="s">
        <v>59</v>
      </c>
      <c r="H4" s="72">
        <v>0.2</v>
      </c>
      <c r="I4" s="101" t="s">
        <v>60</v>
      </c>
      <c r="K4" s="1">
        <v>1000</v>
      </c>
      <c r="M4" s="101" t="s">
        <v>77</v>
      </c>
      <c r="N4" s="1">
        <v>1000</v>
      </c>
      <c r="P4" s="101" t="s">
        <v>66</v>
      </c>
      <c r="Q4" s="1">
        <v>1000</v>
      </c>
      <c r="S4" s="128" t="s">
        <v>67</v>
      </c>
      <c r="AC4" s="11"/>
      <c r="AD4" s="12"/>
      <c r="AG4" s="19"/>
      <c r="AH4" s="19"/>
    </row>
    <row r="5" spans="1:34" x14ac:dyDescent="0.25">
      <c r="A5" s="25"/>
      <c r="B5" s="9" t="s">
        <v>6</v>
      </c>
      <c r="C5" s="43" t="s">
        <v>36</v>
      </c>
      <c r="D5" s="46" t="s">
        <v>42</v>
      </c>
      <c r="E5" s="47" t="s">
        <v>78</v>
      </c>
      <c r="F5" s="46" t="s">
        <v>42</v>
      </c>
      <c r="G5" s="47" t="s">
        <v>39</v>
      </c>
      <c r="H5" s="46" t="s">
        <v>42</v>
      </c>
      <c r="I5" s="47" t="s">
        <v>40</v>
      </c>
      <c r="K5" s="115" t="s">
        <v>64</v>
      </c>
      <c r="L5" s="135" t="s">
        <v>42</v>
      </c>
      <c r="M5" s="116" t="s">
        <v>65</v>
      </c>
      <c r="N5" s="115" t="s">
        <v>64</v>
      </c>
      <c r="O5" s="135" t="s">
        <v>42</v>
      </c>
      <c r="P5" s="116" t="s">
        <v>65</v>
      </c>
      <c r="Q5" s="115" t="s">
        <v>64</v>
      </c>
      <c r="R5" s="135" t="s">
        <v>42</v>
      </c>
      <c r="S5" s="116" t="s">
        <v>65</v>
      </c>
    </row>
    <row r="6" spans="1:34" s="10" customFormat="1" x14ac:dyDescent="0.25">
      <c r="A6" s="73"/>
      <c r="B6" s="31" t="s">
        <v>10</v>
      </c>
      <c r="C6" s="65">
        <f>'for Dist.'!C6</f>
        <v>2880</v>
      </c>
      <c r="D6" s="69">
        <f>(C27)*D4</f>
        <v>237</v>
      </c>
      <c r="E6" s="74">
        <f>C6-D6</f>
        <v>2643</v>
      </c>
      <c r="F6" s="69">
        <f>(C27-300)*F4+(C28+C30+C34)</f>
        <v>2318</v>
      </c>
      <c r="G6" s="74">
        <f>E6-F6</f>
        <v>325</v>
      </c>
      <c r="H6" s="69">
        <f>(C27-300)*H4</f>
        <v>256</v>
      </c>
      <c r="I6" s="74">
        <f>G6-H6</f>
        <v>69</v>
      </c>
      <c r="K6" s="127">
        <f>K4*0.4</f>
        <v>400</v>
      </c>
      <c r="L6" s="124">
        <f>D6*K6</f>
        <v>94800</v>
      </c>
      <c r="M6" s="113">
        <f>C6*K6</f>
        <v>1152000</v>
      </c>
      <c r="N6" s="127">
        <f>N4*0.4</f>
        <v>400</v>
      </c>
      <c r="O6" s="124">
        <f>F6*N6</f>
        <v>927200</v>
      </c>
      <c r="P6" s="113">
        <f>E6*N6</f>
        <v>1057200</v>
      </c>
      <c r="Q6" s="117">
        <f>Q4*0.4</f>
        <v>400</v>
      </c>
      <c r="R6" s="124">
        <f>H6*Q6</f>
        <v>102400</v>
      </c>
      <c r="S6" s="113">
        <f>Q6*I6</f>
        <v>27600</v>
      </c>
      <c r="T6" s="147" t="s">
        <v>90</v>
      </c>
    </row>
    <row r="7" spans="1:34" x14ac:dyDescent="0.25">
      <c r="A7" s="23"/>
      <c r="B7" s="20" t="s">
        <v>25</v>
      </c>
      <c r="C7" s="87" t="str">
        <f>'for Dist.'!C7</f>
        <v>Valued at 4,900</v>
      </c>
      <c r="D7" s="75"/>
      <c r="E7" s="55"/>
      <c r="F7" s="75"/>
      <c r="G7" s="55"/>
      <c r="H7" s="54"/>
      <c r="I7" s="55"/>
      <c r="K7" s="156"/>
      <c r="L7" s="125"/>
      <c r="M7" s="111"/>
      <c r="N7" s="156"/>
      <c r="O7" s="125"/>
      <c r="P7" s="111"/>
      <c r="Q7" s="118"/>
      <c r="R7" s="125"/>
      <c r="S7" s="111"/>
    </row>
    <row r="8" spans="1:34" x14ac:dyDescent="0.25">
      <c r="A8" s="23"/>
      <c r="B8" s="20" t="s">
        <v>12</v>
      </c>
      <c r="C8" s="66" t="e">
        <f>'for Dist.'!#REF!</f>
        <v>#REF!</v>
      </c>
      <c r="D8" s="75"/>
      <c r="E8" s="55"/>
      <c r="F8" s="75"/>
      <c r="G8" s="55"/>
      <c r="H8" s="54"/>
      <c r="I8" s="55"/>
      <c r="K8" s="118"/>
      <c r="L8" s="125"/>
      <c r="M8" s="111"/>
      <c r="N8" s="118"/>
      <c r="O8" s="125"/>
      <c r="P8" s="111"/>
      <c r="Q8" s="118"/>
      <c r="R8" s="125"/>
      <c r="S8" s="111"/>
    </row>
    <row r="9" spans="1:34" x14ac:dyDescent="0.25">
      <c r="A9" s="23"/>
      <c r="B9" s="20" t="s">
        <v>35</v>
      </c>
      <c r="C9" s="45"/>
      <c r="D9" s="54"/>
      <c r="E9" s="55"/>
      <c r="F9" s="54"/>
      <c r="G9" s="55"/>
      <c r="H9" s="54"/>
      <c r="I9" s="55"/>
      <c r="K9" s="118"/>
      <c r="L9" s="125"/>
      <c r="M9" s="111"/>
      <c r="N9" s="118"/>
      <c r="O9" s="125"/>
      <c r="P9" s="111"/>
      <c r="Q9" s="118"/>
      <c r="R9" s="125"/>
      <c r="S9" s="111"/>
    </row>
    <row r="10" spans="1:34" x14ac:dyDescent="0.25">
      <c r="A10" s="7"/>
      <c r="B10" s="20" t="s">
        <v>54</v>
      </c>
      <c r="C10" s="45"/>
      <c r="D10" s="54"/>
      <c r="E10" s="55"/>
      <c r="F10" s="54"/>
      <c r="G10" s="55"/>
      <c r="H10" s="54"/>
      <c r="I10" s="55"/>
      <c r="K10" s="119"/>
      <c r="L10" s="126"/>
      <c r="M10" s="114"/>
      <c r="N10" s="119"/>
      <c r="O10" s="126"/>
      <c r="P10" s="114"/>
      <c r="Q10" s="119"/>
      <c r="R10" s="126"/>
      <c r="S10" s="114"/>
    </row>
    <row r="11" spans="1:34" x14ac:dyDescent="0.25">
      <c r="A11" s="14"/>
      <c r="B11" s="30" t="s">
        <v>13</v>
      </c>
      <c r="C11" s="57" t="e">
        <f>'for Dist.'!#REF!</f>
        <v>#REF!</v>
      </c>
      <c r="D11" s="69">
        <f>(C27)*D4</f>
        <v>237</v>
      </c>
      <c r="E11" s="74" t="e">
        <f>C11-D11</f>
        <v>#REF!</v>
      </c>
      <c r="F11" s="69">
        <f>(C27-200)*F4+(C28+C30)</f>
        <v>888</v>
      </c>
      <c r="G11" s="74" t="e">
        <f>E11-F11</f>
        <v>#REF!</v>
      </c>
      <c r="H11" s="69">
        <f>(C27-200)*H4</f>
        <v>276</v>
      </c>
      <c r="I11" s="74" t="e">
        <f>G11-H11</f>
        <v>#REF!</v>
      </c>
      <c r="K11" s="120">
        <f>K4*0.3</f>
        <v>300</v>
      </c>
      <c r="L11" s="124">
        <f>D11*K11</f>
        <v>71100</v>
      </c>
      <c r="M11" s="113" t="e">
        <f>C11*K11</f>
        <v>#REF!</v>
      </c>
      <c r="N11" s="120">
        <f>N4*0.3</f>
        <v>300</v>
      </c>
      <c r="O11" s="124">
        <f>F11*N11</f>
        <v>266400</v>
      </c>
      <c r="P11" s="113" t="e">
        <f>E11*N11</f>
        <v>#REF!</v>
      </c>
      <c r="Q11" s="120">
        <f>Q4*0.3</f>
        <v>300</v>
      </c>
      <c r="R11" s="124">
        <f>H11*Q11</f>
        <v>82800</v>
      </c>
      <c r="S11" s="113" t="e">
        <f>Q11*I11</f>
        <v>#REF!</v>
      </c>
      <c r="T11" s="147" t="s">
        <v>91</v>
      </c>
    </row>
    <row r="12" spans="1:34" x14ac:dyDescent="0.25">
      <c r="A12" s="23"/>
      <c r="B12" s="20" t="s">
        <v>11</v>
      </c>
      <c r="C12" s="87" t="e">
        <f>'for Dist.'!#REF!</f>
        <v>#REF!</v>
      </c>
      <c r="D12" s="75"/>
      <c r="E12" s="55"/>
      <c r="F12" s="75"/>
      <c r="G12" s="55"/>
      <c r="H12" s="54"/>
      <c r="I12" s="55"/>
      <c r="K12" s="118"/>
      <c r="L12" s="125"/>
      <c r="M12" s="111"/>
      <c r="N12" s="118"/>
      <c r="O12" s="125"/>
      <c r="P12" s="111"/>
      <c r="Q12" s="118"/>
      <c r="R12" s="125"/>
      <c r="S12" s="111"/>
    </row>
    <row r="13" spans="1:34" x14ac:dyDescent="0.25">
      <c r="A13" s="23"/>
      <c r="B13" s="20" t="s">
        <v>12</v>
      </c>
      <c r="C13" s="66" t="e">
        <f>'for Dist.'!#REF!</f>
        <v>#REF!</v>
      </c>
      <c r="D13" s="75"/>
      <c r="E13" s="55"/>
      <c r="F13" s="75"/>
      <c r="G13" s="55"/>
      <c r="H13" s="54"/>
      <c r="I13" s="55"/>
      <c r="K13" s="118"/>
      <c r="L13" s="125"/>
      <c r="M13" s="111"/>
      <c r="N13" s="118"/>
      <c r="O13" s="125"/>
      <c r="P13" s="111"/>
      <c r="Q13" s="118"/>
      <c r="R13" s="125"/>
      <c r="S13" s="111"/>
    </row>
    <row r="14" spans="1:34" x14ac:dyDescent="0.25">
      <c r="A14" s="7"/>
      <c r="B14" s="21" t="s">
        <v>35</v>
      </c>
      <c r="C14" s="67"/>
      <c r="D14" s="70"/>
      <c r="E14" s="76"/>
      <c r="F14" s="70"/>
      <c r="G14" s="76"/>
      <c r="H14" s="70"/>
      <c r="I14" s="76"/>
      <c r="K14" s="119"/>
      <c r="L14" s="126"/>
      <c r="M14" s="114"/>
      <c r="N14" s="119"/>
      <c r="O14" s="126"/>
      <c r="P14" s="114"/>
      <c r="Q14" s="119"/>
      <c r="R14" s="126"/>
      <c r="S14" s="114"/>
    </row>
    <row r="15" spans="1:34" x14ac:dyDescent="0.25">
      <c r="A15" s="14"/>
      <c r="B15" s="30" t="s">
        <v>14</v>
      </c>
      <c r="C15" s="57">
        <f>'for Dist.'!C11</f>
        <v>2330</v>
      </c>
      <c r="D15" s="69">
        <f>(C27)*D4</f>
        <v>237</v>
      </c>
      <c r="E15" s="74">
        <f>C15-D15</f>
        <v>2093</v>
      </c>
      <c r="F15" s="69">
        <f>(C27-150)*F4+C30</f>
        <v>693</v>
      </c>
      <c r="G15" s="74">
        <f>E15-F15</f>
        <v>1400</v>
      </c>
      <c r="H15" s="69">
        <f>(C27-150)*H4</f>
        <v>286</v>
      </c>
      <c r="I15" s="74">
        <f>G15-H15</f>
        <v>1114</v>
      </c>
      <c r="K15" s="118">
        <f>K4*0.2</f>
        <v>200</v>
      </c>
      <c r="L15" s="124">
        <f>D15*K15</f>
        <v>47400</v>
      </c>
      <c r="M15" s="113">
        <f>C15*K15</f>
        <v>466000</v>
      </c>
      <c r="N15" s="118">
        <f>N4*0.2</f>
        <v>200</v>
      </c>
      <c r="O15" s="124">
        <f>F15*N15</f>
        <v>138600</v>
      </c>
      <c r="P15" s="113">
        <f>E15*N15</f>
        <v>418600</v>
      </c>
      <c r="Q15" s="118">
        <f>Q4*0.2</f>
        <v>200</v>
      </c>
      <c r="R15" s="124">
        <f>H15*Q15</f>
        <v>57200</v>
      </c>
      <c r="S15" s="109">
        <f>Q15*I15</f>
        <v>222800</v>
      </c>
      <c r="T15" s="147" t="s">
        <v>92</v>
      </c>
    </row>
    <row r="16" spans="1:34" x14ac:dyDescent="0.25">
      <c r="A16" s="23"/>
      <c r="B16" s="20" t="s">
        <v>11</v>
      </c>
      <c r="C16" s="87" t="str">
        <f>'for Dist.'!C12</f>
        <v>Valued at 4,150</v>
      </c>
      <c r="D16" s="75"/>
      <c r="E16" s="55"/>
      <c r="F16" s="75"/>
      <c r="G16" s="55"/>
      <c r="H16" s="54"/>
      <c r="I16" s="55"/>
      <c r="K16" s="118"/>
      <c r="L16" s="125"/>
      <c r="M16" s="111"/>
      <c r="N16" s="118"/>
      <c r="O16" s="125"/>
      <c r="P16" s="111"/>
      <c r="Q16" s="118"/>
      <c r="R16" s="125"/>
      <c r="S16" s="111"/>
    </row>
    <row r="17" spans="1:20" x14ac:dyDescent="0.25">
      <c r="A17" s="7"/>
      <c r="B17" s="21" t="s">
        <v>35</v>
      </c>
      <c r="C17" s="66" t="str">
        <f>'for Dist.'!C14</f>
        <v xml:space="preserve">save 1,820 </v>
      </c>
      <c r="D17" s="75"/>
      <c r="E17" s="76"/>
      <c r="F17" s="75"/>
      <c r="G17" s="76"/>
      <c r="H17" s="70"/>
      <c r="I17" s="76"/>
      <c r="K17" s="118"/>
      <c r="L17" s="125"/>
      <c r="M17" s="111"/>
      <c r="N17" s="118"/>
      <c r="O17" s="125"/>
      <c r="P17" s="111"/>
      <c r="Q17" s="118"/>
      <c r="R17" s="125"/>
      <c r="S17" s="111"/>
    </row>
    <row r="18" spans="1:20" s="194" customFormat="1" x14ac:dyDescent="0.25">
      <c r="A18" s="188"/>
      <c r="B18" s="189" t="s">
        <v>23</v>
      </c>
      <c r="C18" s="190">
        <f>'for Dist.'!C15</f>
        <v>1580</v>
      </c>
      <c r="D18" s="191">
        <f>C27*D4</f>
        <v>237</v>
      </c>
      <c r="E18" s="192">
        <f>C18-D18</f>
        <v>1343</v>
      </c>
      <c r="F18" s="191">
        <f>F4*C18</f>
        <v>158</v>
      </c>
      <c r="G18" s="192">
        <f>E18-F18</f>
        <v>1185</v>
      </c>
      <c r="H18" s="193">
        <f>C18*H4</f>
        <v>316</v>
      </c>
      <c r="I18" s="192">
        <f>G18-H18</f>
        <v>869</v>
      </c>
      <c r="K18" s="195">
        <f>K4*0.1</f>
        <v>100</v>
      </c>
      <c r="L18" s="196">
        <f>D18*K18</f>
        <v>23700</v>
      </c>
      <c r="M18" s="197">
        <f>C18*K18</f>
        <v>158000</v>
      </c>
      <c r="N18" s="195">
        <f>N4*0.1</f>
        <v>100</v>
      </c>
      <c r="O18" s="196">
        <f>F18*N18</f>
        <v>15800</v>
      </c>
      <c r="P18" s="197">
        <f>E18*N18</f>
        <v>134300</v>
      </c>
      <c r="Q18" s="195">
        <f>Q4*0.1</f>
        <v>100</v>
      </c>
      <c r="R18" s="196">
        <f>H18*Q18</f>
        <v>31600</v>
      </c>
      <c r="S18" s="197">
        <f>Q18*I18</f>
        <v>86900</v>
      </c>
      <c r="T18" s="198" t="s">
        <v>93</v>
      </c>
    </row>
    <row r="19" spans="1:20" s="194" customFormat="1" ht="16.5" thickBot="1" x14ac:dyDescent="0.3">
      <c r="A19" s="199"/>
      <c r="B19" s="200" t="s">
        <v>11</v>
      </c>
      <c r="C19" s="201"/>
      <c r="D19" s="202"/>
      <c r="E19" s="203"/>
      <c r="F19" s="202"/>
      <c r="G19" s="203"/>
      <c r="H19" s="204"/>
      <c r="I19" s="203"/>
      <c r="K19" s="205"/>
      <c r="L19" s="206"/>
      <c r="M19" s="207"/>
      <c r="N19" s="205"/>
      <c r="O19" s="206"/>
      <c r="P19" s="207"/>
      <c r="Q19" s="208"/>
      <c r="R19" s="206"/>
      <c r="S19" s="207"/>
    </row>
    <row r="20" spans="1:20" x14ac:dyDescent="0.25">
      <c r="A20" s="11"/>
      <c r="B20" s="20"/>
      <c r="C20" s="12"/>
      <c r="D20" s="12"/>
      <c r="E20" s="12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20" x14ac:dyDescent="0.25">
      <c r="K21" s="123"/>
      <c r="L21" s="123">
        <f>SUM(L6:L20)</f>
        <v>237000</v>
      </c>
      <c r="M21" s="123" t="e">
        <f>SUM(M6:M20)</f>
        <v>#REF!</v>
      </c>
      <c r="N21" s="123"/>
      <c r="O21" s="123">
        <f>SUM(O6:O20)</f>
        <v>1348000</v>
      </c>
      <c r="P21" s="123" t="e">
        <f>SUM(P6:P20)</f>
        <v>#REF!</v>
      </c>
      <c r="Q21" s="123"/>
      <c r="R21" s="123">
        <f>SUM(R6:R20)</f>
        <v>274000</v>
      </c>
      <c r="S21" s="123" t="e">
        <f>SUM(S6:S20)</f>
        <v>#REF!</v>
      </c>
    </row>
    <row r="23" spans="1:20" x14ac:dyDescent="0.25">
      <c r="O23" s="157" t="e">
        <f>O21/P21</f>
        <v>#REF!</v>
      </c>
      <c r="R23" s="157" t="e">
        <f>R21/S21</f>
        <v>#REF!</v>
      </c>
    </row>
    <row r="24" spans="1:20" x14ac:dyDescent="0.25">
      <c r="B24" s="39" t="s">
        <v>46</v>
      </c>
    </row>
    <row r="25" spans="1:20" ht="16.5" thickBot="1" x14ac:dyDescent="0.3">
      <c r="A25" s="3"/>
      <c r="B25" s="3"/>
      <c r="C25" s="3"/>
      <c r="D25" s="72">
        <v>0</v>
      </c>
      <c r="E25" s="101"/>
      <c r="F25" s="72">
        <v>0.1</v>
      </c>
      <c r="G25" s="101" t="s">
        <v>59</v>
      </c>
      <c r="H25" s="72">
        <v>0.2</v>
      </c>
      <c r="I25" s="101" t="s">
        <v>60</v>
      </c>
      <c r="M25" s="101" t="s">
        <v>77</v>
      </c>
      <c r="P25" s="101" t="s">
        <v>66</v>
      </c>
      <c r="S25" s="128" t="s">
        <v>67</v>
      </c>
    </row>
    <row r="26" spans="1:20" s="3" customFormat="1" ht="15" x14ac:dyDescent="0.25">
      <c r="A26" s="9"/>
      <c r="B26" s="9" t="s">
        <v>6</v>
      </c>
      <c r="C26" s="43" t="s">
        <v>36</v>
      </c>
      <c r="D26" s="46" t="s">
        <v>42</v>
      </c>
      <c r="E26" s="47" t="s">
        <v>78</v>
      </c>
      <c r="F26" s="46" t="s">
        <v>42</v>
      </c>
      <c r="G26" s="47" t="s">
        <v>39</v>
      </c>
      <c r="H26" s="46" t="s">
        <v>42</v>
      </c>
      <c r="I26" s="47" t="s">
        <v>40</v>
      </c>
      <c r="K26" s="115" t="s">
        <v>68</v>
      </c>
      <c r="L26" s="135" t="s">
        <v>42</v>
      </c>
      <c r="M26" s="116" t="s">
        <v>65</v>
      </c>
      <c r="N26" s="115" t="s">
        <v>68</v>
      </c>
      <c r="O26" s="135" t="s">
        <v>42</v>
      </c>
      <c r="P26" s="116" t="s">
        <v>65</v>
      </c>
      <c r="Q26" s="115" t="s">
        <v>76</v>
      </c>
      <c r="R26" s="135" t="s">
        <v>42</v>
      </c>
      <c r="S26" s="116" t="s">
        <v>65</v>
      </c>
    </row>
    <row r="27" spans="1:20" s="3" customFormat="1" x14ac:dyDescent="0.25">
      <c r="A27" s="7">
        <v>1</v>
      </c>
      <c r="B27" s="30" t="s">
        <v>41</v>
      </c>
      <c r="C27" s="57">
        <f>'for Dist.'!C15</f>
        <v>1580</v>
      </c>
      <c r="D27" s="61">
        <f>A27*D25</f>
        <v>0</v>
      </c>
      <c r="E27" s="49">
        <v>0</v>
      </c>
      <c r="F27" s="61">
        <f>C27*F25</f>
        <v>158</v>
      </c>
      <c r="G27" s="49">
        <f>C27-F27</f>
        <v>1422</v>
      </c>
      <c r="H27" s="48">
        <f>C27*H25</f>
        <v>316</v>
      </c>
      <c r="I27" s="49">
        <f>G27-H27</f>
        <v>1106</v>
      </c>
      <c r="K27" s="127">
        <v>0</v>
      </c>
      <c r="L27" s="124">
        <f>C27*K27</f>
        <v>0</v>
      </c>
      <c r="M27" s="113">
        <v>0</v>
      </c>
      <c r="N27" s="127">
        <v>0</v>
      </c>
      <c r="O27" s="124">
        <f>F27*N27</f>
        <v>0</v>
      </c>
      <c r="P27" s="113">
        <f>C27*N27</f>
        <v>0</v>
      </c>
      <c r="Q27" s="117">
        <v>0</v>
      </c>
      <c r="R27" s="124">
        <v>0</v>
      </c>
      <c r="S27" s="113">
        <f>Q27*I27</f>
        <v>0</v>
      </c>
    </row>
    <row r="28" spans="1:20" s="3" customFormat="1" x14ac:dyDescent="0.25">
      <c r="A28" s="7">
        <v>2</v>
      </c>
      <c r="B28" s="41" t="s">
        <v>0</v>
      </c>
      <c r="C28" s="58">
        <f>'diff price-1500'!C26</f>
        <v>200</v>
      </c>
      <c r="D28" s="159" t="s">
        <v>43</v>
      </c>
      <c r="E28" s="99" t="s">
        <v>43</v>
      </c>
      <c r="F28" s="62">
        <v>200</v>
      </c>
      <c r="G28" s="51">
        <v>0</v>
      </c>
      <c r="H28" s="50" t="s">
        <v>43</v>
      </c>
      <c r="I28" s="51" t="s">
        <v>43</v>
      </c>
      <c r="K28" s="137" t="s">
        <v>43</v>
      </c>
      <c r="L28" s="129" t="s">
        <v>43</v>
      </c>
      <c r="M28" s="129" t="s">
        <v>43</v>
      </c>
      <c r="N28" s="137">
        <f>(N15+N18)*0.5</f>
        <v>150</v>
      </c>
      <c r="O28" s="129">
        <f>F28*N28</f>
        <v>30000</v>
      </c>
      <c r="P28" s="129">
        <f>C28*N28</f>
        <v>30000</v>
      </c>
      <c r="Q28" s="137" t="s">
        <v>43</v>
      </c>
      <c r="R28" s="129" t="s">
        <v>43</v>
      </c>
      <c r="S28" s="138" t="s">
        <v>43</v>
      </c>
      <c r="T28" s="147" t="s">
        <v>69</v>
      </c>
    </row>
    <row r="29" spans="1:20" s="3" customFormat="1" x14ac:dyDescent="0.25">
      <c r="A29" s="5">
        <v>3</v>
      </c>
      <c r="B29" s="41" t="s">
        <v>24</v>
      </c>
      <c r="C29" s="44">
        <f>'diff price-1500'!C27</f>
        <v>500</v>
      </c>
      <c r="D29" s="160" t="s">
        <v>43</v>
      </c>
      <c r="E29" s="161" t="s">
        <v>43</v>
      </c>
      <c r="F29" s="61">
        <f>C29*F25</f>
        <v>50</v>
      </c>
      <c r="G29" s="49">
        <f>C29-F29</f>
        <v>450</v>
      </c>
      <c r="H29" s="48">
        <f>C29*H25</f>
        <v>100</v>
      </c>
      <c r="I29" s="49">
        <f>G29-H29</f>
        <v>350</v>
      </c>
      <c r="K29" s="137" t="s">
        <v>43</v>
      </c>
      <c r="L29" s="129" t="s">
        <v>43</v>
      </c>
      <c r="M29" s="129" t="s">
        <v>43</v>
      </c>
      <c r="N29" s="137">
        <f>0.1*N4</f>
        <v>100</v>
      </c>
      <c r="O29" s="129">
        <f>F29*N29</f>
        <v>5000</v>
      </c>
      <c r="P29" s="129">
        <f>C29*N29</f>
        <v>50000</v>
      </c>
      <c r="Q29" s="137">
        <f>0.1*Q4</f>
        <v>100</v>
      </c>
      <c r="R29" s="129">
        <f>H29*Q29</f>
        <v>10000</v>
      </c>
      <c r="S29" s="148">
        <f>I29*Q29</f>
        <v>35000</v>
      </c>
      <c r="T29" s="147" t="s">
        <v>93</v>
      </c>
    </row>
    <row r="30" spans="1:20" s="3" customFormat="1" x14ac:dyDescent="0.25">
      <c r="A30" s="24">
        <v>4</v>
      </c>
      <c r="B30" s="5" t="s">
        <v>55</v>
      </c>
      <c r="C30" s="59">
        <f>'diff price-1500'!C28</f>
        <v>550</v>
      </c>
      <c r="D30" s="159" t="s">
        <v>43</v>
      </c>
      <c r="E30" s="99" t="s">
        <v>43</v>
      </c>
      <c r="F30" s="56">
        <v>350</v>
      </c>
      <c r="G30" s="51">
        <v>0</v>
      </c>
      <c r="H30" s="50" t="s">
        <v>43</v>
      </c>
      <c r="I30" s="51" t="s">
        <v>43</v>
      </c>
      <c r="K30" s="137" t="s">
        <v>43</v>
      </c>
      <c r="L30" s="129" t="s">
        <v>43</v>
      </c>
      <c r="M30" s="129" t="s">
        <v>43</v>
      </c>
      <c r="N30" s="137">
        <f>0.3*N18</f>
        <v>30</v>
      </c>
      <c r="O30" s="129">
        <f>N30*F30</f>
        <v>10500</v>
      </c>
      <c r="P30" s="148">
        <f>C30*N30</f>
        <v>16500</v>
      </c>
      <c r="Q30" s="137" t="s">
        <v>43</v>
      </c>
      <c r="R30" s="129" t="s">
        <v>43</v>
      </c>
      <c r="S30" s="148" t="s">
        <v>43</v>
      </c>
      <c r="T30" s="147" t="s">
        <v>71</v>
      </c>
    </row>
    <row r="31" spans="1:20" s="3" customFormat="1" x14ac:dyDescent="0.25">
      <c r="A31" s="24">
        <v>5</v>
      </c>
      <c r="B31" s="98" t="s">
        <v>58</v>
      </c>
      <c r="C31" s="59">
        <f>'diff price-1500'!C29</f>
        <v>150</v>
      </c>
      <c r="D31" s="160" t="s">
        <v>43</v>
      </c>
      <c r="E31" s="161" t="s">
        <v>43</v>
      </c>
      <c r="F31" s="100">
        <v>150</v>
      </c>
      <c r="G31" s="99">
        <v>0</v>
      </c>
      <c r="H31" s="100" t="s">
        <v>43</v>
      </c>
      <c r="I31" s="99" t="s">
        <v>43</v>
      </c>
      <c r="K31" s="137" t="s">
        <v>43</v>
      </c>
      <c r="L31" s="129" t="s">
        <v>43</v>
      </c>
      <c r="M31" s="129" t="s">
        <v>43</v>
      </c>
      <c r="N31" s="137">
        <f>N4*0.3</f>
        <v>300</v>
      </c>
      <c r="O31" s="129">
        <f>C31*N31</f>
        <v>45000</v>
      </c>
      <c r="P31" s="148">
        <f>F31*N31</f>
        <v>45000</v>
      </c>
      <c r="Q31" s="137" t="s">
        <v>43</v>
      </c>
      <c r="R31" s="129" t="s">
        <v>43</v>
      </c>
      <c r="S31" s="148" t="s">
        <v>43</v>
      </c>
      <c r="T31" s="147" t="s">
        <v>92</v>
      </c>
    </row>
    <row r="32" spans="1:20" s="3" customFormat="1" x14ac:dyDescent="0.25">
      <c r="A32" s="14">
        <v>6</v>
      </c>
      <c r="B32" s="5" t="s">
        <v>8</v>
      </c>
      <c r="C32" s="59">
        <f>'diff price-1500'!C30</f>
        <v>280</v>
      </c>
      <c r="D32" s="159" t="s">
        <v>43</v>
      </c>
      <c r="E32" s="99" t="s">
        <v>43</v>
      </c>
      <c r="F32" s="56">
        <v>180</v>
      </c>
      <c r="G32" s="51">
        <v>0</v>
      </c>
      <c r="H32" s="50" t="s">
        <v>43</v>
      </c>
      <c r="I32" s="51" t="s">
        <v>43</v>
      </c>
      <c r="K32" s="137" t="s">
        <v>43</v>
      </c>
      <c r="L32" s="129" t="s">
        <v>43</v>
      </c>
      <c r="M32" s="129" t="s">
        <v>43</v>
      </c>
      <c r="N32" s="140">
        <f>(N11+N15+N18)*0.2</f>
        <v>120</v>
      </c>
      <c r="O32" s="130">
        <f>F32*N32</f>
        <v>21600</v>
      </c>
      <c r="P32" s="153">
        <f>C32*N32</f>
        <v>33600</v>
      </c>
      <c r="Q32" s="137" t="s">
        <v>43</v>
      </c>
      <c r="R32" s="129" t="s">
        <v>43</v>
      </c>
      <c r="S32" s="148" t="s">
        <v>43</v>
      </c>
      <c r="T32" s="147" t="s">
        <v>70</v>
      </c>
    </row>
    <row r="33" spans="1:21" s="3" customFormat="1" x14ac:dyDescent="0.25">
      <c r="A33" s="24">
        <v>7</v>
      </c>
      <c r="B33" s="5" t="s">
        <v>26</v>
      </c>
      <c r="C33" s="60">
        <f>'diff price-1500'!C31</f>
        <v>50</v>
      </c>
      <c r="D33" s="160" t="s">
        <v>43</v>
      </c>
      <c r="E33" s="161" t="s">
        <v>43</v>
      </c>
      <c r="F33" s="50">
        <v>50</v>
      </c>
      <c r="G33" s="51">
        <v>0</v>
      </c>
      <c r="H33" s="50" t="s">
        <v>43</v>
      </c>
      <c r="I33" s="51">
        <v>0</v>
      </c>
      <c r="K33" s="137" t="s">
        <v>43</v>
      </c>
      <c r="L33" s="129" t="s">
        <v>43</v>
      </c>
      <c r="M33" s="129" t="s">
        <v>43</v>
      </c>
      <c r="N33" s="140">
        <f>(N11+N15+N18)*0.2</f>
        <v>120</v>
      </c>
      <c r="O33" s="131">
        <f>F33*N33</f>
        <v>6000</v>
      </c>
      <c r="P33" s="155">
        <f>C33*N33</f>
        <v>6000</v>
      </c>
      <c r="Q33" s="137" t="s">
        <v>43</v>
      </c>
      <c r="R33" s="129" t="s">
        <v>43</v>
      </c>
      <c r="S33" s="148" t="s">
        <v>43</v>
      </c>
      <c r="T33" s="147" t="s">
        <v>70</v>
      </c>
    </row>
    <row r="34" spans="1:21" s="3" customFormat="1" x14ac:dyDescent="0.25">
      <c r="A34" s="24">
        <v>8</v>
      </c>
      <c r="B34" s="14" t="s">
        <v>9</v>
      </c>
      <c r="C34" s="57">
        <f>'diff price-1500'!C32</f>
        <v>1440</v>
      </c>
      <c r="D34" s="160" t="s">
        <v>43</v>
      </c>
      <c r="E34" s="163" t="s">
        <v>43</v>
      </c>
      <c r="F34" s="61">
        <v>450</v>
      </c>
      <c r="G34" s="63">
        <v>0</v>
      </c>
      <c r="H34" s="52" t="s">
        <v>43</v>
      </c>
      <c r="I34" s="53" t="s">
        <v>43</v>
      </c>
      <c r="K34" s="140" t="s">
        <v>43</v>
      </c>
      <c r="L34" s="131" t="s">
        <v>43</v>
      </c>
      <c r="M34" s="149" t="s">
        <v>43</v>
      </c>
      <c r="N34" s="140">
        <f>(N11+N15+N18)*0.2</f>
        <v>120</v>
      </c>
      <c r="O34" s="133">
        <f>F34*N34</f>
        <v>54000</v>
      </c>
      <c r="P34" s="149">
        <f>C34*N34</f>
        <v>172800</v>
      </c>
      <c r="Q34" s="140" t="s">
        <v>43</v>
      </c>
      <c r="R34" s="133" t="s">
        <v>43</v>
      </c>
      <c r="S34" s="141" t="s">
        <v>43</v>
      </c>
      <c r="T34" s="147" t="s">
        <v>70</v>
      </c>
    </row>
    <row r="35" spans="1:21" s="3" customFormat="1" x14ac:dyDescent="0.25">
      <c r="A35" s="22"/>
      <c r="B35" s="23" t="s">
        <v>31</v>
      </c>
      <c r="C35" s="45"/>
      <c r="D35" s="54"/>
      <c r="E35" s="55"/>
      <c r="F35" s="54"/>
      <c r="G35" s="55"/>
      <c r="H35" s="54"/>
      <c r="I35" s="55"/>
      <c r="K35" s="110"/>
      <c r="L35" s="125"/>
      <c r="M35" s="150"/>
      <c r="N35" s="110"/>
      <c r="O35" s="12"/>
      <c r="P35" s="150"/>
      <c r="Q35" s="110"/>
      <c r="R35" s="12"/>
      <c r="S35" s="111"/>
    </row>
    <row r="36" spans="1:21" s="3" customFormat="1" x14ac:dyDescent="0.25">
      <c r="A36" s="23"/>
      <c r="B36" s="23" t="s">
        <v>27</v>
      </c>
      <c r="C36" s="45"/>
      <c r="D36" s="54"/>
      <c r="E36" s="55"/>
      <c r="F36" s="54"/>
      <c r="G36" s="55"/>
      <c r="H36" s="54"/>
      <c r="I36" s="55"/>
      <c r="K36" s="110"/>
      <c r="L36" s="174"/>
      <c r="M36" s="151"/>
      <c r="N36" s="110"/>
      <c r="O36" s="132"/>
      <c r="P36" s="151"/>
      <c r="Q36" s="110"/>
      <c r="R36" s="132"/>
      <c r="S36" s="109"/>
    </row>
    <row r="37" spans="1:21" s="3" customFormat="1" x14ac:dyDescent="0.25">
      <c r="A37" s="23"/>
      <c r="B37" s="23" t="s">
        <v>30</v>
      </c>
      <c r="C37" s="45"/>
      <c r="D37" s="54"/>
      <c r="E37" s="55"/>
      <c r="F37" s="54"/>
      <c r="G37" s="55"/>
      <c r="H37" s="54"/>
      <c r="I37" s="55"/>
      <c r="K37" s="142"/>
      <c r="L37" s="126"/>
      <c r="M37" s="152"/>
      <c r="N37" s="142"/>
      <c r="O37" s="134"/>
      <c r="P37" s="152"/>
      <c r="Q37" s="142"/>
      <c r="R37" s="134"/>
      <c r="S37" s="114"/>
    </row>
    <row r="38" spans="1:21" s="3" customFormat="1" x14ac:dyDescent="0.25">
      <c r="A38" s="5">
        <v>9</v>
      </c>
      <c r="B38" s="5" t="s">
        <v>32</v>
      </c>
      <c r="C38" s="59">
        <f>'diff price-1500'!C36</f>
        <v>1050</v>
      </c>
      <c r="D38" s="162" t="s">
        <v>43</v>
      </c>
      <c r="E38" s="161" t="s">
        <v>43</v>
      </c>
      <c r="F38" s="56">
        <f>C38*F25</f>
        <v>105</v>
      </c>
      <c r="G38" s="49">
        <f>C38-F38</f>
        <v>945</v>
      </c>
      <c r="H38" s="56">
        <f>C38*H25</f>
        <v>210</v>
      </c>
      <c r="I38" s="49">
        <f>G38-H38</f>
        <v>735</v>
      </c>
      <c r="K38" s="173" t="s">
        <v>43</v>
      </c>
      <c r="L38" s="129" t="s">
        <v>43</v>
      </c>
      <c r="M38" s="172" t="s">
        <v>43</v>
      </c>
      <c r="N38" s="137" t="s">
        <v>43</v>
      </c>
      <c r="O38" s="129" t="s">
        <v>43</v>
      </c>
      <c r="P38" s="148" t="s">
        <v>43</v>
      </c>
      <c r="Q38" s="137" t="s">
        <v>43</v>
      </c>
      <c r="R38" s="129" t="s">
        <v>43</v>
      </c>
      <c r="S38" s="138" t="s">
        <v>43</v>
      </c>
    </row>
    <row r="39" spans="1:21" s="3" customFormat="1" x14ac:dyDescent="0.25">
      <c r="A39" s="5">
        <v>10</v>
      </c>
      <c r="B39" s="14" t="s">
        <v>56</v>
      </c>
      <c r="C39" s="57">
        <f>'diff price-1500'!C37</f>
        <v>100</v>
      </c>
      <c r="D39" s="162" t="s">
        <v>43</v>
      </c>
      <c r="E39" s="161" t="s">
        <v>43</v>
      </c>
      <c r="F39" s="61">
        <f>C39*F25</f>
        <v>10</v>
      </c>
      <c r="G39" s="49">
        <f>C39-F39</f>
        <v>90</v>
      </c>
      <c r="H39" s="61">
        <f>C39*H25</f>
        <v>20</v>
      </c>
      <c r="I39" s="49">
        <f>G39-H39</f>
        <v>70</v>
      </c>
      <c r="K39" s="137" t="s">
        <v>43</v>
      </c>
      <c r="L39" s="130" t="s">
        <v>43</v>
      </c>
      <c r="M39" s="153" t="s">
        <v>43</v>
      </c>
      <c r="N39" s="137">
        <f>0.1*N4</f>
        <v>100</v>
      </c>
      <c r="O39" s="130">
        <f>F39*N39</f>
        <v>1000</v>
      </c>
      <c r="P39" s="153">
        <f>C39*N39</f>
        <v>10000</v>
      </c>
      <c r="Q39" s="137">
        <f>0.1*Q4</f>
        <v>100</v>
      </c>
      <c r="R39" s="130">
        <f>H39*Q39</f>
        <v>2000</v>
      </c>
      <c r="S39" s="139">
        <f>Q39*I39</f>
        <v>7000</v>
      </c>
      <c r="T39" s="147" t="s">
        <v>93</v>
      </c>
    </row>
    <row r="40" spans="1:21" s="3" customFormat="1" ht="16.5" thickBot="1" x14ac:dyDescent="0.3">
      <c r="A40" s="5">
        <v>12</v>
      </c>
      <c r="B40" s="98" t="s">
        <v>61</v>
      </c>
      <c r="C40" s="59">
        <f>'diff price-1500'!C39</f>
        <v>600</v>
      </c>
      <c r="D40" s="164" t="s">
        <v>43</v>
      </c>
      <c r="E40" s="165" t="s">
        <v>43</v>
      </c>
      <c r="F40" s="103">
        <v>600</v>
      </c>
      <c r="G40" s="104">
        <v>0</v>
      </c>
      <c r="H40" s="105" t="s">
        <v>43</v>
      </c>
      <c r="I40" s="104" t="s">
        <v>43</v>
      </c>
      <c r="K40" s="143" t="s">
        <v>43</v>
      </c>
      <c r="L40" s="144" t="s">
        <v>43</v>
      </c>
      <c r="M40" s="154" t="s">
        <v>43</v>
      </c>
      <c r="N40" s="143">
        <f>0.2*N4</f>
        <v>200</v>
      </c>
      <c r="O40" s="144">
        <f>F40*N40</f>
        <v>120000</v>
      </c>
      <c r="P40" s="154">
        <f>C40*N40</f>
        <v>120000</v>
      </c>
      <c r="Q40" s="146" t="s">
        <v>43</v>
      </c>
      <c r="R40" s="144" t="s">
        <v>43</v>
      </c>
      <c r="S40" s="145" t="s">
        <v>43</v>
      </c>
    </row>
    <row r="41" spans="1:21" x14ac:dyDescent="0.25">
      <c r="B41" s="38"/>
      <c r="K41" s="11"/>
      <c r="L41" s="11"/>
      <c r="M41" s="11"/>
      <c r="N41" s="11"/>
      <c r="O41" s="11"/>
      <c r="P41" s="11"/>
      <c r="Q41" s="11"/>
      <c r="R41" s="11"/>
    </row>
    <row r="42" spans="1:21" x14ac:dyDescent="0.25">
      <c r="K42" s="123"/>
      <c r="L42" s="123">
        <f>SUM(L27:L41)</f>
        <v>0</v>
      </c>
      <c r="M42" s="123">
        <f>SUM(M27:M41)</f>
        <v>0</v>
      </c>
      <c r="N42" s="123"/>
      <c r="O42" s="123">
        <f>SUM(O27:O41)</f>
        <v>293100</v>
      </c>
      <c r="P42" s="123">
        <f>SUM(P27:P41)</f>
        <v>483900</v>
      </c>
      <c r="Q42" s="123"/>
      <c r="R42" s="123">
        <f>SUM(R27:R41)</f>
        <v>12000</v>
      </c>
      <c r="S42" s="123">
        <f>SUM(S27:S41)</f>
        <v>42000</v>
      </c>
    </row>
    <row r="43" spans="1:21" x14ac:dyDescent="0.25">
      <c r="N43" s="123"/>
      <c r="O43" s="123"/>
      <c r="P43" s="123"/>
      <c r="Q43" s="123"/>
      <c r="R43" s="123"/>
      <c r="S43" s="123"/>
    </row>
    <row r="44" spans="1:21" x14ac:dyDescent="0.25">
      <c r="N44" s="123"/>
      <c r="O44" s="123"/>
      <c r="P44" s="123"/>
      <c r="Q44" s="123"/>
      <c r="R44" s="123"/>
      <c r="S44" s="123"/>
    </row>
    <row r="45" spans="1:21" x14ac:dyDescent="0.25">
      <c r="A45" s="11"/>
      <c r="B45" s="37" t="s">
        <v>21</v>
      </c>
      <c r="C45" s="12"/>
      <c r="D45" s="12"/>
      <c r="E45" s="12"/>
      <c r="F45" s="12"/>
      <c r="G45" s="11"/>
      <c r="H45" s="11"/>
      <c r="I45" s="11"/>
      <c r="J45" s="11"/>
      <c r="K45" s="11"/>
      <c r="L45" s="11"/>
      <c r="M45" s="11"/>
    </row>
    <row r="46" spans="1:21" ht="16.5" thickBot="1" x14ac:dyDescent="0.3">
      <c r="D46" s="72">
        <v>0.15</v>
      </c>
      <c r="E46" s="158" t="s">
        <v>77</v>
      </c>
      <c r="F46" s="72">
        <v>0.1</v>
      </c>
      <c r="G46" s="101" t="s">
        <v>59</v>
      </c>
      <c r="H46" s="72">
        <v>0.2</v>
      </c>
      <c r="I46" s="101" t="s">
        <v>60</v>
      </c>
      <c r="K46" s="1">
        <v>500</v>
      </c>
      <c r="M46" s="101" t="s">
        <v>77</v>
      </c>
      <c r="N46" s="1">
        <v>500</v>
      </c>
      <c r="P46" s="101" t="s">
        <v>66</v>
      </c>
      <c r="Q46" s="1">
        <v>500</v>
      </c>
      <c r="S46" s="128" t="s">
        <v>67</v>
      </c>
    </row>
    <row r="47" spans="1:21" x14ac:dyDescent="0.25">
      <c r="A47" s="26"/>
      <c r="B47" s="9" t="s">
        <v>6</v>
      </c>
      <c r="C47" s="25" t="s">
        <v>2</v>
      </c>
      <c r="D47" s="46" t="s">
        <v>42</v>
      </c>
      <c r="E47" s="47" t="s">
        <v>78</v>
      </c>
      <c r="F47" s="46" t="s">
        <v>42</v>
      </c>
      <c r="G47" s="47" t="s">
        <v>39</v>
      </c>
      <c r="H47" s="46" t="s">
        <v>42</v>
      </c>
      <c r="I47" s="47" t="s">
        <v>40</v>
      </c>
      <c r="K47" s="115" t="s">
        <v>64</v>
      </c>
      <c r="L47" s="135" t="s">
        <v>42</v>
      </c>
      <c r="M47" s="116" t="s">
        <v>65</v>
      </c>
      <c r="N47" s="115" t="s">
        <v>64</v>
      </c>
      <c r="O47" s="135" t="s">
        <v>42</v>
      </c>
      <c r="P47" s="116" t="s">
        <v>65</v>
      </c>
      <c r="Q47" s="115" t="s">
        <v>64</v>
      </c>
      <c r="R47" s="135" t="s">
        <v>42</v>
      </c>
      <c r="S47" s="116" t="s">
        <v>65</v>
      </c>
    </row>
    <row r="48" spans="1:21" x14ac:dyDescent="0.25">
      <c r="A48" s="28"/>
      <c r="B48" s="31" t="s">
        <v>10</v>
      </c>
      <c r="C48" s="29">
        <f>'for Dist.'!I6</f>
        <v>5080</v>
      </c>
      <c r="D48" s="69">
        <f>(C70)*D46</f>
        <v>612</v>
      </c>
      <c r="E48" s="74">
        <f>C48-D48</f>
        <v>4468</v>
      </c>
      <c r="F48" s="69">
        <f>(C70-400)*F46+(C71+550+C77)</f>
        <v>3518</v>
      </c>
      <c r="G48" s="74">
        <f>E48-F48</f>
        <v>950</v>
      </c>
      <c r="H48" s="69">
        <f>(C70-400)*H46</f>
        <v>736</v>
      </c>
      <c r="I48" s="74">
        <f>G48-H48</f>
        <v>214</v>
      </c>
      <c r="K48" s="127">
        <f>K46*0.4</f>
        <v>200</v>
      </c>
      <c r="L48" s="124">
        <f>D48*K48</f>
        <v>122400</v>
      </c>
      <c r="M48" s="113">
        <f>C48*K48</f>
        <v>1016000</v>
      </c>
      <c r="N48" s="127">
        <f>N46*0.4</f>
        <v>200</v>
      </c>
      <c r="O48" s="124">
        <f>F48*N48</f>
        <v>703600</v>
      </c>
      <c r="P48" s="113">
        <f>E48*N48</f>
        <v>893600</v>
      </c>
      <c r="Q48" s="117">
        <f>Q46*0.4</f>
        <v>200</v>
      </c>
      <c r="R48" s="124">
        <f>H48*Q48</f>
        <v>147200</v>
      </c>
      <c r="S48" s="113">
        <f>Q48*I48</f>
        <v>42800</v>
      </c>
      <c r="T48" s="147" t="s">
        <v>94</v>
      </c>
      <c r="U48" s="10"/>
    </row>
    <row r="49" spans="1:20" x14ac:dyDescent="0.25">
      <c r="A49" s="18"/>
      <c r="B49" s="20" t="s">
        <v>11</v>
      </c>
      <c r="C49" s="36" t="str">
        <f>'for Dist.'!I7</f>
        <v>Valued at 7,600</v>
      </c>
      <c r="D49" s="75"/>
      <c r="E49" s="55"/>
      <c r="F49" s="75"/>
      <c r="G49" s="55"/>
      <c r="H49" s="54"/>
      <c r="I49" s="55"/>
      <c r="K49" s="156"/>
      <c r="L49" s="125"/>
      <c r="M49" s="111"/>
      <c r="N49" s="118"/>
      <c r="O49" s="125"/>
      <c r="P49" s="111"/>
      <c r="Q49" s="118"/>
      <c r="R49" s="125"/>
      <c r="S49" s="111"/>
    </row>
    <row r="50" spans="1:20" x14ac:dyDescent="0.25">
      <c r="A50" s="18"/>
      <c r="B50" s="20" t="s">
        <v>12</v>
      </c>
      <c r="C50" s="36" t="e">
        <f>'for Dist.'!#REF!</f>
        <v>#REF!</v>
      </c>
      <c r="D50" s="75"/>
      <c r="E50" s="55"/>
      <c r="F50" s="75"/>
      <c r="G50" s="55"/>
      <c r="H50" s="54"/>
      <c r="I50" s="55"/>
      <c r="K50" s="118"/>
      <c r="L50" s="125"/>
      <c r="M50" s="111"/>
      <c r="N50" s="118"/>
      <c r="O50" s="125"/>
      <c r="P50" s="111"/>
      <c r="Q50" s="118"/>
      <c r="R50" s="125"/>
      <c r="S50" s="111"/>
    </row>
    <row r="51" spans="1:20" x14ac:dyDescent="0.25">
      <c r="A51" s="18"/>
      <c r="B51" s="20" t="s">
        <v>34</v>
      </c>
      <c r="C51" s="36"/>
      <c r="D51" s="54"/>
      <c r="E51" s="55"/>
      <c r="F51" s="54"/>
      <c r="G51" s="55"/>
      <c r="H51" s="54"/>
      <c r="I51" s="55"/>
      <c r="K51" s="118"/>
      <c r="L51" s="125"/>
      <c r="M51" s="111"/>
      <c r="N51" s="118"/>
      <c r="O51" s="125"/>
      <c r="P51" s="111"/>
      <c r="Q51" s="118"/>
      <c r="R51" s="125"/>
      <c r="S51" s="111"/>
    </row>
    <row r="52" spans="1:20" x14ac:dyDescent="0.25">
      <c r="A52" s="6"/>
      <c r="B52" s="20" t="s">
        <v>54</v>
      </c>
      <c r="C52" s="27"/>
      <c r="D52" s="54"/>
      <c r="E52" s="55"/>
      <c r="F52" s="54"/>
      <c r="G52" s="55"/>
      <c r="H52" s="54"/>
      <c r="I52" s="55"/>
      <c r="K52" s="119"/>
      <c r="L52" s="126"/>
      <c r="M52" s="114"/>
      <c r="N52" s="119"/>
      <c r="O52" s="126"/>
      <c r="P52" s="114"/>
      <c r="Q52" s="119"/>
      <c r="R52" s="126"/>
      <c r="S52" s="114"/>
    </row>
    <row r="53" spans="1:20" x14ac:dyDescent="0.25">
      <c r="A53" s="13"/>
      <c r="B53" s="30" t="s">
        <v>13</v>
      </c>
      <c r="C53" s="15" t="e">
        <f>'for Dist.'!#REF!</f>
        <v>#REF!</v>
      </c>
      <c r="D53" s="69">
        <f>(C70)*D46</f>
        <v>612</v>
      </c>
      <c r="E53" s="74" t="e">
        <f>C53-D53</f>
        <v>#REF!</v>
      </c>
      <c r="F53" s="69">
        <f>(C70-300)*F46+(C71+550)</f>
        <v>1128</v>
      </c>
      <c r="G53" s="74" t="e">
        <f>E53-F53</f>
        <v>#REF!</v>
      </c>
      <c r="H53" s="69">
        <f>(C70-300)*H46</f>
        <v>756</v>
      </c>
      <c r="I53" s="74" t="e">
        <f>G53-H53</f>
        <v>#REF!</v>
      </c>
      <c r="K53" s="120">
        <f>K46*0.3</f>
        <v>150</v>
      </c>
      <c r="L53" s="124">
        <f>D53*K53</f>
        <v>91800</v>
      </c>
      <c r="M53" s="113" t="e">
        <f>C53*K53</f>
        <v>#REF!</v>
      </c>
      <c r="N53" s="120">
        <f>N46*0.3</f>
        <v>150</v>
      </c>
      <c r="O53" s="124">
        <f>F53*N53</f>
        <v>169200</v>
      </c>
      <c r="P53" s="113" t="e">
        <f>E53*N53</f>
        <v>#REF!</v>
      </c>
      <c r="Q53" s="120">
        <f>Q46*0.3</f>
        <v>150</v>
      </c>
      <c r="R53" s="124">
        <f>H53*Q53</f>
        <v>113400</v>
      </c>
      <c r="S53" s="113" t="e">
        <f>Q53*I53</f>
        <v>#REF!</v>
      </c>
      <c r="T53" s="147" t="s">
        <v>95</v>
      </c>
    </row>
    <row r="54" spans="1:20" x14ac:dyDescent="0.25">
      <c r="A54" s="18"/>
      <c r="B54" s="20" t="s">
        <v>11</v>
      </c>
      <c r="C54" s="36" t="e">
        <f>'for Dist.'!#REF!</f>
        <v>#REF!</v>
      </c>
      <c r="D54" s="75"/>
      <c r="E54" s="55"/>
      <c r="F54" s="75"/>
      <c r="G54" s="55"/>
      <c r="H54" s="54"/>
      <c r="I54" s="55"/>
      <c r="K54" s="118"/>
      <c r="L54" s="125"/>
      <c r="M54" s="111"/>
      <c r="N54" s="118"/>
      <c r="O54" s="125"/>
      <c r="P54" s="111"/>
      <c r="Q54" s="118"/>
      <c r="R54" s="125"/>
      <c r="S54" s="111"/>
    </row>
    <row r="55" spans="1:20" x14ac:dyDescent="0.25">
      <c r="A55" s="18"/>
      <c r="B55" s="20" t="s">
        <v>12</v>
      </c>
      <c r="C55" s="36" t="e">
        <f>'for Dist.'!#REF!</f>
        <v>#REF!</v>
      </c>
      <c r="D55" s="75"/>
      <c r="E55" s="55"/>
      <c r="F55" s="75"/>
      <c r="G55" s="55"/>
      <c r="H55" s="54"/>
      <c r="I55" s="55"/>
      <c r="K55" s="118"/>
      <c r="L55" s="125"/>
      <c r="M55" s="111"/>
      <c r="N55" s="118"/>
      <c r="O55" s="125"/>
      <c r="P55" s="111"/>
      <c r="Q55" s="118"/>
      <c r="R55" s="125"/>
      <c r="S55" s="111"/>
    </row>
    <row r="56" spans="1:20" x14ac:dyDescent="0.25">
      <c r="A56" s="6"/>
      <c r="B56" s="21" t="s">
        <v>34</v>
      </c>
      <c r="C56" s="8"/>
      <c r="D56" s="70"/>
      <c r="E56" s="76"/>
      <c r="F56" s="70"/>
      <c r="G56" s="76"/>
      <c r="H56" s="70"/>
      <c r="I56" s="76"/>
      <c r="K56" s="119"/>
      <c r="L56" s="126"/>
      <c r="M56" s="114"/>
      <c r="N56" s="119"/>
      <c r="O56" s="126"/>
      <c r="P56" s="114"/>
      <c r="Q56" s="119"/>
      <c r="R56" s="126"/>
      <c r="S56" s="114"/>
    </row>
    <row r="57" spans="1:20" x14ac:dyDescent="0.25">
      <c r="A57" s="13"/>
      <c r="B57" s="30" t="s">
        <v>14</v>
      </c>
      <c r="C57" s="15">
        <f>'for Dist.'!I11</f>
        <v>4530</v>
      </c>
      <c r="D57" s="69">
        <f>(C70)*D46</f>
        <v>612</v>
      </c>
      <c r="E57" s="74">
        <f>C57-D57</f>
        <v>3918</v>
      </c>
      <c r="F57" s="69">
        <f>(C70-200)*F46+550</f>
        <v>938</v>
      </c>
      <c r="G57" s="74">
        <f>E57-F57</f>
        <v>2980</v>
      </c>
      <c r="H57" s="69">
        <f>(C70-200)*H46</f>
        <v>776</v>
      </c>
      <c r="I57" s="74">
        <f>G57-H57</f>
        <v>2204</v>
      </c>
      <c r="K57" s="118">
        <f>K46*0.2</f>
        <v>100</v>
      </c>
      <c r="L57" s="124">
        <f>D57*K57</f>
        <v>61200</v>
      </c>
      <c r="M57" s="113">
        <f>C57*K57</f>
        <v>453000</v>
      </c>
      <c r="N57" s="118">
        <f>N46*0.2</f>
        <v>100</v>
      </c>
      <c r="O57" s="124">
        <f>F57*N57</f>
        <v>93800</v>
      </c>
      <c r="P57" s="113">
        <f>E57*N57</f>
        <v>391800</v>
      </c>
      <c r="Q57" s="118">
        <f>Q46*0.2</f>
        <v>100</v>
      </c>
      <c r="R57" s="124">
        <f>H57*Q57</f>
        <v>77600</v>
      </c>
      <c r="S57" s="109">
        <f>Q57*I57</f>
        <v>220400</v>
      </c>
      <c r="T57" s="147" t="s">
        <v>96</v>
      </c>
    </row>
    <row r="58" spans="1:20" x14ac:dyDescent="0.25">
      <c r="A58" s="18"/>
      <c r="B58" s="20" t="s">
        <v>11</v>
      </c>
      <c r="C58" s="36" t="str">
        <f>'for Dist.'!I12</f>
        <v>Valued at 6,850</v>
      </c>
      <c r="D58" s="75"/>
      <c r="E58" s="55"/>
      <c r="F58" s="75"/>
      <c r="G58" s="55"/>
      <c r="H58" s="54"/>
      <c r="I58" s="55"/>
      <c r="K58" s="118"/>
      <c r="L58" s="125"/>
      <c r="M58" s="111"/>
      <c r="N58" s="118"/>
      <c r="O58" s="125"/>
      <c r="P58" s="111"/>
      <c r="Q58" s="118"/>
      <c r="R58" s="125"/>
      <c r="S58" s="111"/>
    </row>
    <row r="59" spans="1:20" x14ac:dyDescent="0.25">
      <c r="A59" s="6"/>
      <c r="B59" s="21" t="s">
        <v>34</v>
      </c>
      <c r="C59" s="36" t="str">
        <f>'for Dist.'!I14</f>
        <v>save 2,320</v>
      </c>
      <c r="D59" s="75"/>
      <c r="E59" s="76"/>
      <c r="F59" s="75"/>
      <c r="G59" s="76"/>
      <c r="H59" s="70"/>
      <c r="I59" s="76"/>
      <c r="K59" s="118"/>
      <c r="L59" s="125"/>
      <c r="M59" s="111"/>
      <c r="N59" s="118"/>
      <c r="O59" s="125"/>
      <c r="P59" s="111"/>
      <c r="Q59" s="118"/>
      <c r="R59" s="125"/>
      <c r="S59" s="111"/>
    </row>
    <row r="60" spans="1:20" x14ac:dyDescent="0.25">
      <c r="A60" s="13"/>
      <c r="B60" s="30" t="s">
        <v>23</v>
      </c>
      <c r="C60" s="15">
        <f>'for Dist.'!I15</f>
        <v>4080</v>
      </c>
      <c r="D60" s="61">
        <f>C70*D46</f>
        <v>612</v>
      </c>
      <c r="E60" s="74">
        <f>C60-D60</f>
        <v>3468</v>
      </c>
      <c r="F60" s="61">
        <f>C60*F46</f>
        <v>408</v>
      </c>
      <c r="G60" s="74">
        <f>E60-F60</f>
        <v>3060</v>
      </c>
      <c r="H60" s="48">
        <f>C60*H46</f>
        <v>816</v>
      </c>
      <c r="I60" s="74">
        <f>G60-H60</f>
        <v>2244</v>
      </c>
      <c r="K60" s="120">
        <f>K46*0.1</f>
        <v>50</v>
      </c>
      <c r="L60" s="124">
        <f>D60*K60</f>
        <v>30600</v>
      </c>
      <c r="M60" s="113">
        <f>C60*K60</f>
        <v>204000</v>
      </c>
      <c r="N60" s="120">
        <f>N46*0.1</f>
        <v>50</v>
      </c>
      <c r="O60" s="124">
        <f>F60*N60</f>
        <v>20400</v>
      </c>
      <c r="P60" s="113">
        <f>E60*N60</f>
        <v>173400</v>
      </c>
      <c r="Q60" s="120">
        <f>Q46*0.1</f>
        <v>50</v>
      </c>
      <c r="R60" s="124">
        <f>H60*Q60</f>
        <v>40800</v>
      </c>
      <c r="S60" s="113">
        <f>Q60*I60</f>
        <v>112200</v>
      </c>
      <c r="T60" s="147" t="s">
        <v>97</v>
      </c>
    </row>
    <row r="61" spans="1:20" ht="16.5" thickBot="1" x14ac:dyDescent="0.3">
      <c r="A61" s="6"/>
      <c r="B61" s="21" t="s">
        <v>11</v>
      </c>
      <c r="C61" s="40"/>
      <c r="D61" s="78"/>
      <c r="E61" s="79"/>
      <c r="F61" s="78"/>
      <c r="G61" s="79"/>
      <c r="H61" s="80"/>
      <c r="I61" s="79"/>
      <c r="K61" s="121"/>
      <c r="L61" s="136"/>
      <c r="M61" s="112"/>
      <c r="N61" s="121"/>
      <c r="O61" s="136"/>
      <c r="P61" s="112"/>
      <c r="Q61" s="122"/>
      <c r="R61" s="136"/>
      <c r="S61" s="112"/>
    </row>
    <row r="62" spans="1:20" x14ac:dyDescent="0.25">
      <c r="K62" s="11"/>
      <c r="L62" s="11"/>
      <c r="M62" s="11"/>
      <c r="N62" s="11"/>
      <c r="O62" s="11"/>
      <c r="P62" s="11"/>
      <c r="Q62" s="11"/>
      <c r="R62" s="11"/>
    </row>
    <row r="63" spans="1:20" x14ac:dyDescent="0.25">
      <c r="K63" s="123"/>
      <c r="L63" s="123">
        <f>SUM(L48:L62)</f>
        <v>306000</v>
      </c>
      <c r="M63" s="123" t="e">
        <f>SUM(M48:M62)</f>
        <v>#REF!</v>
      </c>
      <c r="N63" s="123"/>
      <c r="O63" s="123">
        <f>SUM(O48:O62)</f>
        <v>987000</v>
      </c>
      <c r="P63" s="123" t="e">
        <f>SUM(P48:P62)</f>
        <v>#REF!</v>
      </c>
      <c r="Q63" s="123"/>
      <c r="R63" s="123">
        <f>SUM(R48:R62)</f>
        <v>379000</v>
      </c>
      <c r="S63" s="123" t="e">
        <f>SUM(S48:S62)</f>
        <v>#REF!</v>
      </c>
    </row>
    <row r="64" spans="1:20" x14ac:dyDescent="0.25">
      <c r="B64" s="39"/>
      <c r="N64" s="123"/>
      <c r="O64" s="123"/>
      <c r="P64" s="123"/>
      <c r="Q64" s="123"/>
      <c r="R64" s="123"/>
      <c r="S64" s="123"/>
    </row>
    <row r="65" spans="1:20" x14ac:dyDescent="0.25">
      <c r="B65" s="39"/>
      <c r="N65" s="123"/>
      <c r="O65" s="123"/>
      <c r="P65" s="123"/>
      <c r="Q65" s="123"/>
      <c r="R65" s="123"/>
      <c r="S65" s="123"/>
    </row>
    <row r="66" spans="1:20" x14ac:dyDescent="0.25">
      <c r="B66" s="39"/>
      <c r="N66" s="123"/>
      <c r="O66" s="123"/>
      <c r="P66" s="123"/>
      <c r="Q66" s="123"/>
      <c r="R66" s="123"/>
      <c r="S66" s="123"/>
    </row>
    <row r="67" spans="1:20" x14ac:dyDescent="0.25">
      <c r="B67" s="39" t="s">
        <v>7</v>
      </c>
      <c r="N67" s="123"/>
      <c r="O67" s="123"/>
      <c r="P67" s="123"/>
      <c r="Q67" s="123"/>
      <c r="R67" s="123"/>
      <c r="S67" s="123"/>
    </row>
    <row r="68" spans="1:20" ht="16.5" thickBot="1" x14ac:dyDescent="0.3">
      <c r="A68" s="3"/>
      <c r="B68" s="3"/>
      <c r="C68" s="3"/>
      <c r="D68" s="72">
        <v>0</v>
      </c>
      <c r="E68" s="101"/>
      <c r="F68" s="72">
        <v>0.1</v>
      </c>
      <c r="G68" s="101" t="s">
        <v>59</v>
      </c>
      <c r="H68" s="72">
        <v>0.2</v>
      </c>
      <c r="I68" s="101" t="s">
        <v>60</v>
      </c>
      <c r="J68" s="42"/>
      <c r="M68" s="101" t="s">
        <v>77</v>
      </c>
      <c r="P68" s="101" t="s">
        <v>66</v>
      </c>
      <c r="S68" s="128" t="s">
        <v>67</v>
      </c>
    </row>
    <row r="69" spans="1:20" s="3" customFormat="1" ht="15" x14ac:dyDescent="0.25">
      <c r="A69" s="9"/>
      <c r="B69" s="9" t="s">
        <v>6</v>
      </c>
      <c r="C69" s="43" t="s">
        <v>36</v>
      </c>
      <c r="D69" s="46" t="s">
        <v>42</v>
      </c>
      <c r="E69" s="47" t="s">
        <v>78</v>
      </c>
      <c r="F69" s="46" t="s">
        <v>42</v>
      </c>
      <c r="G69" s="47" t="s">
        <v>37</v>
      </c>
      <c r="H69" s="68" t="s">
        <v>42</v>
      </c>
      <c r="I69" s="47" t="s">
        <v>38</v>
      </c>
      <c r="K69" s="115" t="s">
        <v>68</v>
      </c>
      <c r="L69" s="135" t="s">
        <v>42</v>
      </c>
      <c r="M69" s="116" t="s">
        <v>65</v>
      </c>
      <c r="N69" s="115" t="s">
        <v>68</v>
      </c>
      <c r="O69" s="135" t="s">
        <v>42</v>
      </c>
      <c r="P69" s="116" t="s">
        <v>65</v>
      </c>
      <c r="Q69" s="115" t="s">
        <v>76</v>
      </c>
      <c r="R69" s="135" t="s">
        <v>42</v>
      </c>
      <c r="S69" s="116" t="s">
        <v>65</v>
      </c>
    </row>
    <row r="70" spans="1:20" s="3" customFormat="1" x14ac:dyDescent="0.25">
      <c r="A70" s="7">
        <v>1</v>
      </c>
      <c r="B70" s="30" t="s">
        <v>41</v>
      </c>
      <c r="C70" s="57">
        <f>'for Dist.'!I15</f>
        <v>4080</v>
      </c>
      <c r="D70" s="61">
        <f>A70*D68</f>
        <v>0</v>
      </c>
      <c r="E70" s="49">
        <v>0</v>
      </c>
      <c r="F70" s="61">
        <f>C70*F68</f>
        <v>408</v>
      </c>
      <c r="G70" s="49">
        <f>C70-F70</f>
        <v>3672</v>
      </c>
      <c r="H70" s="81">
        <f>C70*H68</f>
        <v>816</v>
      </c>
      <c r="I70" s="49">
        <f>G70-H70</f>
        <v>2856</v>
      </c>
      <c r="K70" s="127">
        <v>0</v>
      </c>
      <c r="L70" s="124">
        <f>C70*K70</f>
        <v>0</v>
      </c>
      <c r="M70" s="113">
        <v>0</v>
      </c>
      <c r="N70" s="127">
        <v>0</v>
      </c>
      <c r="O70" s="124">
        <f>F70*N70</f>
        <v>0</v>
      </c>
      <c r="P70" s="113">
        <f>C70*N70</f>
        <v>0</v>
      </c>
      <c r="Q70" s="117">
        <v>0</v>
      </c>
      <c r="R70" s="124">
        <v>0</v>
      </c>
      <c r="S70" s="113">
        <f>Q70*I70</f>
        <v>0</v>
      </c>
    </row>
    <row r="71" spans="1:20" s="3" customFormat="1" x14ac:dyDescent="0.25">
      <c r="A71" s="7">
        <v>2</v>
      </c>
      <c r="B71" s="41" t="s">
        <v>0</v>
      </c>
      <c r="C71" s="58">
        <f>'diff price-1500'!C67</f>
        <v>200</v>
      </c>
      <c r="D71" s="159" t="s">
        <v>43</v>
      </c>
      <c r="E71" s="99" t="s">
        <v>43</v>
      </c>
      <c r="F71" s="62">
        <v>350</v>
      </c>
      <c r="G71" s="51">
        <v>0</v>
      </c>
      <c r="H71" s="82" t="s">
        <v>43</v>
      </c>
      <c r="I71" s="51" t="s">
        <v>43</v>
      </c>
      <c r="K71" s="137" t="s">
        <v>43</v>
      </c>
      <c r="L71" s="129" t="s">
        <v>43</v>
      </c>
      <c r="M71" s="129" t="s">
        <v>43</v>
      </c>
      <c r="N71" s="137">
        <f>(N57+N60)*0.5</f>
        <v>75</v>
      </c>
      <c r="O71" s="129">
        <f>F71*N71</f>
        <v>26250</v>
      </c>
      <c r="P71" s="129">
        <f>C71*N71</f>
        <v>15000</v>
      </c>
      <c r="Q71" s="137" t="s">
        <v>43</v>
      </c>
      <c r="R71" s="129" t="s">
        <v>43</v>
      </c>
      <c r="S71" s="138" t="s">
        <v>43</v>
      </c>
      <c r="T71" s="147" t="s">
        <v>69</v>
      </c>
    </row>
    <row r="72" spans="1:20" s="3" customFormat="1" x14ac:dyDescent="0.25">
      <c r="A72" s="5">
        <v>3</v>
      </c>
      <c r="B72" s="41" t="s">
        <v>24</v>
      </c>
      <c r="C72" s="44">
        <f>'diff price-1500'!C68</f>
        <v>500</v>
      </c>
      <c r="D72" s="160" t="s">
        <v>43</v>
      </c>
      <c r="E72" s="161" t="s">
        <v>43</v>
      </c>
      <c r="F72" s="61">
        <f>C72*F68</f>
        <v>50</v>
      </c>
      <c r="G72" s="49">
        <f>C72-F72</f>
        <v>450</v>
      </c>
      <c r="H72" s="81">
        <f>C72*H68</f>
        <v>100</v>
      </c>
      <c r="I72" s="49">
        <f>G72-H72</f>
        <v>350</v>
      </c>
      <c r="K72" s="137" t="s">
        <v>43</v>
      </c>
      <c r="L72" s="129" t="s">
        <v>43</v>
      </c>
      <c r="M72" s="129" t="s">
        <v>43</v>
      </c>
      <c r="N72" s="137">
        <f>0.1*N46</f>
        <v>50</v>
      </c>
      <c r="O72" s="129">
        <f>F72*N72</f>
        <v>2500</v>
      </c>
      <c r="P72" s="129">
        <f>C72*N72</f>
        <v>25000</v>
      </c>
      <c r="Q72" s="137">
        <f>0.1*Q46</f>
        <v>50</v>
      </c>
      <c r="R72" s="129">
        <f>H72*Q72</f>
        <v>5000</v>
      </c>
      <c r="S72" s="148">
        <f>I72*Q72</f>
        <v>17500</v>
      </c>
      <c r="T72" s="147" t="s">
        <v>97</v>
      </c>
    </row>
    <row r="73" spans="1:20" s="3" customFormat="1" x14ac:dyDescent="0.25">
      <c r="A73" s="24">
        <v>4</v>
      </c>
      <c r="B73" s="5" t="s">
        <v>48</v>
      </c>
      <c r="C73" s="59">
        <f>'diff price-1500'!C69</f>
        <v>750</v>
      </c>
      <c r="D73" s="159" t="s">
        <v>43</v>
      </c>
      <c r="E73" s="99" t="s">
        <v>43</v>
      </c>
      <c r="F73" s="56">
        <v>550</v>
      </c>
      <c r="G73" s="51">
        <v>0</v>
      </c>
      <c r="H73" s="82" t="s">
        <v>43</v>
      </c>
      <c r="I73" s="51" t="s">
        <v>43</v>
      </c>
      <c r="K73" s="137" t="s">
        <v>43</v>
      </c>
      <c r="L73" s="129" t="s">
        <v>43</v>
      </c>
      <c r="M73" s="129" t="s">
        <v>43</v>
      </c>
      <c r="N73" s="137">
        <f>0.3*N60</f>
        <v>15</v>
      </c>
      <c r="O73" s="129">
        <f>N73*F73</f>
        <v>8250</v>
      </c>
      <c r="P73" s="148">
        <f>C73*N73</f>
        <v>11250</v>
      </c>
      <c r="Q73" s="137" t="s">
        <v>43</v>
      </c>
      <c r="R73" s="129" t="s">
        <v>43</v>
      </c>
      <c r="S73" s="148" t="s">
        <v>43</v>
      </c>
      <c r="T73" s="147" t="s">
        <v>71</v>
      </c>
    </row>
    <row r="74" spans="1:20" s="3" customFormat="1" x14ac:dyDescent="0.25">
      <c r="A74" s="24">
        <v>5</v>
      </c>
      <c r="B74" s="98" t="s">
        <v>58</v>
      </c>
      <c r="C74" s="59">
        <f>'diff price-1500'!C70</f>
        <v>150</v>
      </c>
      <c r="D74" s="160" t="s">
        <v>43</v>
      </c>
      <c r="E74" s="161" t="s">
        <v>43</v>
      </c>
      <c r="F74" s="100">
        <v>150</v>
      </c>
      <c r="G74" s="99">
        <v>0</v>
      </c>
      <c r="H74" s="100" t="s">
        <v>43</v>
      </c>
      <c r="I74" s="99" t="s">
        <v>43</v>
      </c>
      <c r="K74" s="137" t="s">
        <v>43</v>
      </c>
      <c r="L74" s="129" t="s">
        <v>43</v>
      </c>
      <c r="M74" s="129" t="s">
        <v>43</v>
      </c>
      <c r="N74" s="137">
        <f>N46*0.3</f>
        <v>150</v>
      </c>
      <c r="O74" s="129">
        <f>C74*N74</f>
        <v>22500</v>
      </c>
      <c r="P74" s="148">
        <f>F74*N74</f>
        <v>22500</v>
      </c>
      <c r="Q74" s="137" t="s">
        <v>43</v>
      </c>
      <c r="R74" s="129" t="s">
        <v>43</v>
      </c>
      <c r="S74" s="148" t="s">
        <v>43</v>
      </c>
      <c r="T74" s="147" t="s">
        <v>96</v>
      </c>
    </row>
    <row r="75" spans="1:20" s="3" customFormat="1" x14ac:dyDescent="0.25">
      <c r="A75" s="14">
        <v>6</v>
      </c>
      <c r="B75" s="5" t="s">
        <v>8</v>
      </c>
      <c r="C75" s="59">
        <f>'diff price-1500'!C71</f>
        <v>280</v>
      </c>
      <c r="D75" s="159" t="s">
        <v>43</v>
      </c>
      <c r="E75" s="99" t="s">
        <v>43</v>
      </c>
      <c r="F75" s="56">
        <v>280</v>
      </c>
      <c r="G75" s="51">
        <v>0</v>
      </c>
      <c r="H75" s="82" t="s">
        <v>43</v>
      </c>
      <c r="I75" s="51" t="s">
        <v>43</v>
      </c>
      <c r="K75" s="137" t="s">
        <v>43</v>
      </c>
      <c r="L75" s="129" t="s">
        <v>43</v>
      </c>
      <c r="M75" s="129" t="s">
        <v>43</v>
      </c>
      <c r="N75" s="140">
        <f>(N53+N57+N60)*0.2</f>
        <v>60</v>
      </c>
      <c r="O75" s="130">
        <f>F75*N75</f>
        <v>16800</v>
      </c>
      <c r="P75" s="153">
        <f>C75*N75</f>
        <v>16800</v>
      </c>
      <c r="Q75" s="137" t="s">
        <v>43</v>
      </c>
      <c r="R75" s="129" t="s">
        <v>43</v>
      </c>
      <c r="S75" s="148" t="s">
        <v>43</v>
      </c>
      <c r="T75" s="147" t="s">
        <v>70</v>
      </c>
    </row>
    <row r="76" spans="1:20" s="3" customFormat="1" x14ac:dyDescent="0.25">
      <c r="A76" s="24">
        <v>7</v>
      </c>
      <c r="B76" s="5" t="s">
        <v>26</v>
      </c>
      <c r="C76" s="60">
        <f>'diff price-1500'!C72</f>
        <v>50</v>
      </c>
      <c r="D76" s="160" t="s">
        <v>43</v>
      </c>
      <c r="E76" s="161" t="s">
        <v>43</v>
      </c>
      <c r="F76" s="50">
        <v>50</v>
      </c>
      <c r="G76" s="51">
        <v>0</v>
      </c>
      <c r="H76" s="82" t="s">
        <v>43</v>
      </c>
      <c r="I76" s="99" t="s">
        <v>43</v>
      </c>
      <c r="K76" s="137" t="s">
        <v>43</v>
      </c>
      <c r="L76" s="129" t="s">
        <v>43</v>
      </c>
      <c r="M76" s="129" t="s">
        <v>43</v>
      </c>
      <c r="N76" s="140">
        <f>(N53+N57+N60)*0.2</f>
        <v>60</v>
      </c>
      <c r="O76" s="131">
        <f>F76*N76</f>
        <v>3000</v>
      </c>
      <c r="P76" s="155">
        <f>C76*N76</f>
        <v>3000</v>
      </c>
      <c r="Q76" s="137" t="s">
        <v>43</v>
      </c>
      <c r="R76" s="129" t="s">
        <v>43</v>
      </c>
      <c r="S76" s="148" t="s">
        <v>43</v>
      </c>
      <c r="T76" s="147" t="s">
        <v>70</v>
      </c>
    </row>
    <row r="77" spans="1:20" s="3" customFormat="1" x14ac:dyDescent="0.25">
      <c r="A77" s="24">
        <v>8</v>
      </c>
      <c r="B77" s="14" t="s">
        <v>9</v>
      </c>
      <c r="C77" s="57">
        <f>'diff price-1500'!C73</f>
        <v>2400</v>
      </c>
      <c r="D77" s="160" t="s">
        <v>43</v>
      </c>
      <c r="E77" s="163" t="s">
        <v>43</v>
      </c>
      <c r="F77" s="61">
        <v>750</v>
      </c>
      <c r="G77" s="63">
        <v>0</v>
      </c>
      <c r="H77" s="83" t="s">
        <v>43</v>
      </c>
      <c r="I77" s="53" t="s">
        <v>43</v>
      </c>
      <c r="K77" s="140" t="s">
        <v>43</v>
      </c>
      <c r="L77" s="131" t="s">
        <v>43</v>
      </c>
      <c r="M77" s="149" t="s">
        <v>43</v>
      </c>
      <c r="N77" s="140">
        <f>(N53+N57+N60)*0.2</f>
        <v>60</v>
      </c>
      <c r="O77" s="133">
        <f>F77*N77</f>
        <v>45000</v>
      </c>
      <c r="P77" s="149">
        <f>C77*N77</f>
        <v>144000</v>
      </c>
      <c r="Q77" s="140" t="s">
        <v>43</v>
      </c>
      <c r="R77" s="133" t="s">
        <v>43</v>
      </c>
      <c r="S77" s="141" t="s">
        <v>43</v>
      </c>
      <c r="T77" s="147" t="s">
        <v>70</v>
      </c>
    </row>
    <row r="78" spans="1:20" s="3" customFormat="1" x14ac:dyDescent="0.25">
      <c r="A78" s="22"/>
      <c r="B78" s="23" t="s">
        <v>31</v>
      </c>
      <c r="C78" s="45"/>
      <c r="D78" s="54"/>
      <c r="E78" s="55"/>
      <c r="F78" s="54"/>
      <c r="G78" s="55"/>
      <c r="H78" s="84"/>
      <c r="I78" s="55"/>
      <c r="K78" s="110"/>
      <c r="L78" s="125"/>
      <c r="M78" s="150"/>
      <c r="N78" s="110"/>
      <c r="O78" s="12"/>
      <c r="P78" s="150"/>
      <c r="Q78" s="110"/>
      <c r="R78" s="12"/>
      <c r="S78" s="111"/>
    </row>
    <row r="79" spans="1:20" s="3" customFormat="1" x14ac:dyDescent="0.25">
      <c r="A79" s="23"/>
      <c r="B79" s="23" t="s">
        <v>28</v>
      </c>
      <c r="C79" s="45"/>
      <c r="D79" s="54"/>
      <c r="E79" s="55"/>
      <c r="F79" s="54"/>
      <c r="G79" s="55"/>
      <c r="H79" s="84"/>
      <c r="I79" s="55"/>
      <c r="K79" s="110"/>
      <c r="L79" s="174"/>
      <c r="M79" s="151"/>
      <c r="N79" s="110"/>
      <c r="O79" s="132"/>
      <c r="P79" s="151"/>
      <c r="Q79" s="110"/>
      <c r="R79" s="132"/>
      <c r="S79" s="109"/>
    </row>
    <row r="80" spans="1:20" s="3" customFormat="1" x14ac:dyDescent="0.25">
      <c r="A80" s="23"/>
      <c r="B80" s="23" t="s">
        <v>29</v>
      </c>
      <c r="C80" s="45"/>
      <c r="D80" s="54"/>
      <c r="E80" s="55"/>
      <c r="F80" s="54"/>
      <c r="G80" s="55"/>
      <c r="H80" s="84"/>
      <c r="I80" s="55"/>
      <c r="K80" s="142"/>
      <c r="L80" s="126"/>
      <c r="M80" s="152"/>
      <c r="N80" s="142"/>
      <c r="O80" s="134"/>
      <c r="P80" s="152"/>
      <c r="Q80" s="142"/>
      <c r="R80" s="134"/>
      <c r="S80" s="114"/>
    </row>
    <row r="81" spans="1:20" s="3" customFormat="1" x14ac:dyDescent="0.25">
      <c r="A81" s="5">
        <v>9</v>
      </c>
      <c r="B81" s="5" t="s">
        <v>32</v>
      </c>
      <c r="C81" s="59">
        <f>'diff price-1500'!C77</f>
        <v>1050</v>
      </c>
      <c r="D81" s="162" t="s">
        <v>43</v>
      </c>
      <c r="E81" s="161" t="s">
        <v>43</v>
      </c>
      <c r="F81" s="56">
        <f>C81*F68</f>
        <v>105</v>
      </c>
      <c r="G81" s="49">
        <f>C81-F81</f>
        <v>945</v>
      </c>
      <c r="H81" s="85">
        <f>C81*H68</f>
        <v>210</v>
      </c>
      <c r="I81" s="49">
        <f>G81-H81</f>
        <v>735</v>
      </c>
      <c r="K81" s="137" t="s">
        <v>43</v>
      </c>
      <c r="L81" s="129" t="s">
        <v>43</v>
      </c>
      <c r="M81" s="148" t="s">
        <v>43</v>
      </c>
      <c r="N81" s="137" t="s">
        <v>43</v>
      </c>
      <c r="O81" s="129" t="s">
        <v>43</v>
      </c>
      <c r="P81" s="148" t="s">
        <v>43</v>
      </c>
      <c r="Q81" s="137" t="s">
        <v>43</v>
      </c>
      <c r="R81" s="129" t="s">
        <v>43</v>
      </c>
      <c r="S81" s="138" t="s">
        <v>43</v>
      </c>
    </row>
    <row r="82" spans="1:20" s="3" customFormat="1" x14ac:dyDescent="0.25">
      <c r="A82" s="5">
        <v>10</v>
      </c>
      <c r="B82" s="5" t="s">
        <v>56</v>
      </c>
      <c r="C82" s="59">
        <f>'diff price-1500'!C78</f>
        <v>100</v>
      </c>
      <c r="D82" s="162" t="s">
        <v>43</v>
      </c>
      <c r="E82" s="161" t="s">
        <v>43</v>
      </c>
      <c r="F82" s="56">
        <f>C82*F68</f>
        <v>10</v>
      </c>
      <c r="G82" s="86">
        <f>C82-F82</f>
        <v>90</v>
      </c>
      <c r="H82" s="85">
        <f>C82*H68</f>
        <v>20</v>
      </c>
      <c r="I82" s="86">
        <f>G82-H82</f>
        <v>70</v>
      </c>
      <c r="K82" s="137" t="s">
        <v>43</v>
      </c>
      <c r="L82" s="130" t="s">
        <v>43</v>
      </c>
      <c r="M82" s="153" t="s">
        <v>43</v>
      </c>
      <c r="N82" s="137">
        <f>0.1*N46</f>
        <v>50</v>
      </c>
      <c r="O82" s="130">
        <f>F82*N82</f>
        <v>500</v>
      </c>
      <c r="P82" s="153">
        <f>C82*N82</f>
        <v>5000</v>
      </c>
      <c r="Q82" s="137">
        <f>0.1*Q46</f>
        <v>50</v>
      </c>
      <c r="R82" s="130">
        <f>H82*Q82</f>
        <v>1000</v>
      </c>
      <c r="S82" s="139">
        <f>Q82*I82</f>
        <v>3500</v>
      </c>
      <c r="T82" s="147" t="s">
        <v>97</v>
      </c>
    </row>
    <row r="83" spans="1:20" s="3" customFormat="1" ht="16.5" thickBot="1" x14ac:dyDescent="0.3">
      <c r="A83" s="5">
        <v>12</v>
      </c>
      <c r="B83" s="5" t="s">
        <v>44</v>
      </c>
      <c r="C83" s="59">
        <f>'diff price-1500'!C80</f>
        <v>600</v>
      </c>
      <c r="D83" s="164" t="s">
        <v>43</v>
      </c>
      <c r="E83" s="165" t="s">
        <v>43</v>
      </c>
      <c r="F83" s="103">
        <v>600</v>
      </c>
      <c r="G83" s="104">
        <v>0</v>
      </c>
      <c r="H83" s="108" t="s">
        <v>43</v>
      </c>
      <c r="I83" s="104" t="s">
        <v>43</v>
      </c>
      <c r="K83" s="143" t="s">
        <v>43</v>
      </c>
      <c r="L83" s="144" t="s">
        <v>43</v>
      </c>
      <c r="M83" s="154" t="s">
        <v>43</v>
      </c>
      <c r="N83" s="143">
        <f>0.2*N46</f>
        <v>100</v>
      </c>
      <c r="O83" s="144">
        <f>F83*N83</f>
        <v>60000</v>
      </c>
      <c r="P83" s="154">
        <f>C83*N83</f>
        <v>60000</v>
      </c>
      <c r="Q83" s="146" t="s">
        <v>43</v>
      </c>
      <c r="R83" s="144" t="s">
        <v>43</v>
      </c>
      <c r="S83" s="145" t="s">
        <v>43</v>
      </c>
    </row>
    <row r="84" spans="1:20" x14ac:dyDescent="0.25">
      <c r="K84" s="11"/>
      <c r="L84" s="11"/>
      <c r="M84" s="11"/>
      <c r="N84" s="11"/>
      <c r="O84" s="11"/>
      <c r="P84" s="11"/>
      <c r="Q84" s="11"/>
      <c r="R84" s="11"/>
    </row>
    <row r="85" spans="1:20" x14ac:dyDescent="0.25">
      <c r="K85" s="123"/>
      <c r="L85" s="123">
        <f>SUM(L70:L84)</f>
        <v>0</v>
      </c>
      <c r="M85" s="123">
        <f>SUM(M70:M84)</f>
        <v>0</v>
      </c>
      <c r="N85" s="123"/>
      <c r="O85" s="123">
        <f>SUM(O70:O84)</f>
        <v>184800</v>
      </c>
      <c r="P85" s="123">
        <f>SUM(P70:P84)</f>
        <v>302550</v>
      </c>
      <c r="Q85" s="123"/>
      <c r="R85" s="123">
        <f>SUM(R70:R84)</f>
        <v>6000</v>
      </c>
      <c r="S85" s="123">
        <f>SUM(S70:S84)</f>
        <v>21000</v>
      </c>
    </row>
    <row r="89" spans="1:20" x14ac:dyDescent="0.25">
      <c r="G89" s="1" t="s">
        <v>72</v>
      </c>
      <c r="L89" s="123">
        <f>L21+L63</f>
        <v>543000</v>
      </c>
      <c r="M89" s="123" t="e">
        <f>M21+M63</f>
        <v>#REF!</v>
      </c>
      <c r="O89" s="123">
        <f>O21+O42+O63+O85</f>
        <v>2812900</v>
      </c>
      <c r="P89" s="123" t="e">
        <f>P21+P42+P63+P85</f>
        <v>#REF!</v>
      </c>
      <c r="Q89" s="123"/>
      <c r="R89" s="123">
        <f t="shared" ref="R89" si="0">R21+R42+R63+R85</f>
        <v>671000</v>
      </c>
      <c r="S89" s="123" t="e">
        <f>S21+S42+S63+S85</f>
        <v>#REF!</v>
      </c>
    </row>
    <row r="90" spans="1:20" x14ac:dyDescent="0.25">
      <c r="O90" s="1" t="s">
        <v>73</v>
      </c>
    </row>
    <row r="91" spans="1:20" x14ac:dyDescent="0.25">
      <c r="O91" s="1" t="s">
        <v>74</v>
      </c>
      <c r="R91" s="123"/>
    </row>
    <row r="92" spans="1:20" x14ac:dyDescent="0.25">
      <c r="O92" s="1" t="s">
        <v>75</v>
      </c>
    </row>
  </sheetData>
  <pageMargins left="0.23622047244094491" right="0.15748031496062992" top="0.44" bottom="0.28000000000000003" header="0.31496062992125984" footer="0.1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for Dist.</vt:lpstr>
      <vt:lpstr>diff price-1500</vt:lpstr>
      <vt:lpstr>price-1500 without partner</vt:lpstr>
      <vt:lpstr>diff price-54000</vt:lpstr>
      <vt:lpstr>price-5400 without partner</vt:lpstr>
      <vt:lpstr>Formula</vt:lpstr>
      <vt:lpstr>nEWS</vt:lpstr>
      <vt:lpstr>summary</vt:lpstr>
      <vt:lpstr>1st year</vt:lpstr>
      <vt:lpstr>Sheet3</vt:lpstr>
      <vt:lpstr>Training costing</vt:lpstr>
      <vt:lpstr>Sheet4</vt:lpstr>
      <vt:lpstr>ROI Target</vt:lpstr>
      <vt:lpstr>Sheet1</vt:lpstr>
      <vt:lpstr>testing</vt:lpstr>
      <vt:lpstr>'diff price-1500'!Print_Area</vt:lpstr>
      <vt:lpstr>nEWS!Print_Area</vt:lpstr>
      <vt:lpstr>'price-1500 without partner'!Print_Area</vt:lpstr>
      <vt:lpstr>'price-5400 without partner'!Print_Area</vt:lpstr>
      <vt:lpstr>testing!Print_Area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User</cp:lastModifiedBy>
  <cp:lastPrinted>2015-01-07T01:24:39Z</cp:lastPrinted>
  <dcterms:created xsi:type="dcterms:W3CDTF">2013-05-15T03:49:26Z</dcterms:created>
  <dcterms:modified xsi:type="dcterms:W3CDTF">2015-01-09T07:56:23Z</dcterms:modified>
</cp:coreProperties>
</file>