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30" windowWidth="15600" windowHeight="7755"/>
  </bookViews>
  <sheets>
    <sheet name="for Dist_SPS" sheetId="1" r:id="rId1"/>
    <sheet name="S 1000-M 500" sheetId="4" r:id="rId2"/>
    <sheet name="S1 1500-M 700" sheetId="8" r:id="rId3"/>
    <sheet name="1st year" sheetId="5" r:id="rId4"/>
    <sheet name="Sheet3" sheetId="3" r:id="rId5"/>
    <sheet name="Sheet2" sheetId="2" r:id="rId6"/>
    <sheet name="Sheet4" sheetId="6" r:id="rId7"/>
    <sheet name="ROI Target" sheetId="7" r:id="rId8"/>
    <sheet name="Sheet1" sheetId="9" r:id="rId9"/>
  </sheets>
  <definedNames>
    <definedName name="_xlnm.Print_Area" localSheetId="1">'S 1000-M 500'!$A$1:$AB$120</definedName>
    <definedName name="_xlnm.Print_Area" localSheetId="2">'S1 1500-M 700'!$A$1:$AB$120</definedName>
  </definedNames>
  <calcPr calcId="145621"/>
</workbook>
</file>

<file path=xl/calcChain.xml><?xml version="1.0" encoding="utf-8"?>
<calcChain xmlns="http://schemas.openxmlformats.org/spreadsheetml/2006/main">
  <c r="L6" i="4" l="1"/>
  <c r="D6" i="4"/>
  <c r="E6" i="1" l="1"/>
  <c r="C20" i="8" l="1"/>
  <c r="C89" i="8"/>
  <c r="C80" i="8"/>
  <c r="W80" i="4"/>
  <c r="C88" i="4"/>
  <c r="C88" i="8" s="1"/>
  <c r="C87" i="4"/>
  <c r="C87" i="8" s="1"/>
  <c r="C83" i="4"/>
  <c r="C83" i="8" s="1"/>
  <c r="C82" i="4"/>
  <c r="C82" i="8" s="1"/>
  <c r="C81" i="4"/>
  <c r="C81" i="8" s="1"/>
  <c r="C79" i="4"/>
  <c r="C79" i="8" s="1"/>
  <c r="C78" i="4"/>
  <c r="C78" i="8" s="1"/>
  <c r="C77" i="4"/>
  <c r="C77" i="8" s="1"/>
  <c r="C76" i="4"/>
  <c r="C76" i="8" s="1"/>
  <c r="C70" i="5" s="1"/>
  <c r="C20" i="4"/>
  <c r="C68" i="4"/>
  <c r="C68" i="8" s="1"/>
  <c r="C67" i="4"/>
  <c r="C67" i="8" s="1"/>
  <c r="C66" i="4"/>
  <c r="C66" i="8" s="1"/>
  <c r="C60" i="5" s="1"/>
  <c r="C65" i="4"/>
  <c r="C65" i="8" s="1"/>
  <c r="C59" i="5" s="1"/>
  <c r="C64" i="4"/>
  <c r="C64" i="8" s="1"/>
  <c r="C58" i="5" s="1"/>
  <c r="C63" i="4"/>
  <c r="C63" i="8" s="1"/>
  <c r="C57" i="5" s="1"/>
  <c r="C61" i="4"/>
  <c r="C61" i="8" s="1"/>
  <c r="C55" i="5" s="1"/>
  <c r="C60" i="4"/>
  <c r="C60" i="8" s="1"/>
  <c r="C54" i="5" s="1"/>
  <c r="C59" i="4"/>
  <c r="C59" i="8" s="1"/>
  <c r="C53" i="5" s="1"/>
  <c r="C56" i="4"/>
  <c r="C56" i="8" s="1"/>
  <c r="C50" i="5" s="1"/>
  <c r="C55" i="4"/>
  <c r="C55" i="8" s="1"/>
  <c r="C49" i="5" s="1"/>
  <c r="C54" i="4"/>
  <c r="C48" i="5" s="1"/>
  <c r="N6" i="4"/>
  <c r="L15" i="1"/>
  <c r="L11" i="1"/>
  <c r="K18" i="1"/>
  <c r="L18" i="1" s="1"/>
  <c r="K15" i="1"/>
  <c r="K11" i="1"/>
  <c r="K6" i="1"/>
  <c r="L6" i="1" s="1"/>
  <c r="F18" i="1"/>
  <c r="F15" i="1"/>
  <c r="E18" i="1"/>
  <c r="E15" i="1"/>
  <c r="E11" i="1"/>
  <c r="F11" i="1" s="1"/>
  <c r="F6" i="1"/>
  <c r="D66" i="4" l="1"/>
  <c r="C54" i="8"/>
  <c r="D54" i="4"/>
  <c r="L39" i="1" l="1"/>
  <c r="L37" i="1"/>
  <c r="L36" i="1"/>
  <c r="L29" i="1"/>
  <c r="L30" i="1"/>
  <c r="L31" i="1"/>
  <c r="L32" i="1"/>
  <c r="L28" i="1"/>
  <c r="L27" i="1"/>
  <c r="F37" i="1" l="1"/>
  <c r="F36" i="1"/>
  <c r="F29" i="1"/>
  <c r="F30" i="1"/>
  <c r="F31" i="1"/>
  <c r="F32" i="1"/>
  <c r="F28" i="1"/>
  <c r="F27" i="1"/>
  <c r="F39" i="1" s="1"/>
  <c r="T90" i="8" l="1"/>
  <c r="U90" i="8" s="1"/>
  <c r="Q89" i="8"/>
  <c r="S89" i="8" s="1"/>
  <c r="X88" i="8"/>
  <c r="T88" i="8"/>
  <c r="Q88" i="8"/>
  <c r="N88" i="8"/>
  <c r="H88" i="8"/>
  <c r="U88" i="8" s="1"/>
  <c r="H87" i="8"/>
  <c r="T80" i="8"/>
  <c r="W80" i="8" s="1"/>
  <c r="X78" i="8"/>
  <c r="T78" i="8"/>
  <c r="Q78" i="8"/>
  <c r="N78" i="8"/>
  <c r="H78" i="8"/>
  <c r="K76" i="8"/>
  <c r="X66" i="8"/>
  <c r="T66" i="8"/>
  <c r="Q66" i="8"/>
  <c r="N66" i="8"/>
  <c r="N79" i="8" s="1"/>
  <c r="P66" i="8"/>
  <c r="X63" i="8"/>
  <c r="T63" i="8"/>
  <c r="Q63" i="8"/>
  <c r="N63" i="8"/>
  <c r="N77" i="8" s="1"/>
  <c r="O77" i="8" s="1"/>
  <c r="P63" i="8"/>
  <c r="X59" i="8"/>
  <c r="T59" i="8"/>
  <c r="Q59" i="8"/>
  <c r="N59" i="8"/>
  <c r="X54" i="8"/>
  <c r="T54" i="8"/>
  <c r="Q54" i="8"/>
  <c r="N54" i="8"/>
  <c r="P54" i="8"/>
  <c r="T43" i="8"/>
  <c r="W43" i="8" s="1"/>
  <c r="Q42" i="8"/>
  <c r="S42" i="8" s="1"/>
  <c r="X41" i="8"/>
  <c r="T41" i="8"/>
  <c r="Q41" i="8"/>
  <c r="N41" i="8"/>
  <c r="C41" i="8"/>
  <c r="C40" i="8"/>
  <c r="K40" i="8" s="1"/>
  <c r="C36" i="8"/>
  <c r="C35" i="8"/>
  <c r="C34" i="8"/>
  <c r="C32" i="8"/>
  <c r="X31" i="8"/>
  <c r="T31" i="8"/>
  <c r="Q31" i="8"/>
  <c r="N31" i="8"/>
  <c r="C31" i="8"/>
  <c r="C30" i="8"/>
  <c r="C29" i="8"/>
  <c r="K29" i="8" s="1"/>
  <c r="C19" i="8"/>
  <c r="X18" i="8"/>
  <c r="T18" i="8"/>
  <c r="Q18" i="8"/>
  <c r="N18" i="8"/>
  <c r="N32" i="8" s="1"/>
  <c r="C18" i="8"/>
  <c r="I18" i="8" s="1"/>
  <c r="C17" i="8"/>
  <c r="C16" i="8"/>
  <c r="X15" i="8"/>
  <c r="T15" i="8"/>
  <c r="Q15" i="8"/>
  <c r="N15" i="8"/>
  <c r="C15" i="8"/>
  <c r="P15" i="8" s="1"/>
  <c r="C13" i="8"/>
  <c r="C12" i="8"/>
  <c r="X11" i="8"/>
  <c r="T11" i="8"/>
  <c r="Q11" i="8"/>
  <c r="N11" i="8"/>
  <c r="C11" i="8"/>
  <c r="P11" i="8" s="1"/>
  <c r="C8" i="8"/>
  <c r="C7" i="8"/>
  <c r="X6" i="8"/>
  <c r="T6" i="8"/>
  <c r="T33" i="8" s="1"/>
  <c r="Q6" i="8"/>
  <c r="N6" i="8"/>
  <c r="C6" i="8"/>
  <c r="P6" i="8" s="1"/>
  <c r="I6" i="8" l="1"/>
  <c r="V6" i="8" s="1"/>
  <c r="K11" i="8"/>
  <c r="Y11" i="8" s="1"/>
  <c r="F15" i="8"/>
  <c r="R15" i="8" s="1"/>
  <c r="K59" i="8"/>
  <c r="Y59" i="8" s="1"/>
  <c r="F63" i="8"/>
  <c r="R63" i="8" s="1"/>
  <c r="H66" i="8"/>
  <c r="U66" i="8" s="1"/>
  <c r="K6" i="8"/>
  <c r="Y6" i="8" s="1"/>
  <c r="F11" i="8"/>
  <c r="R11" i="8" s="1"/>
  <c r="H15" i="8"/>
  <c r="U15" i="8" s="1"/>
  <c r="D29" i="8"/>
  <c r="E29" i="8" s="1"/>
  <c r="D15" i="8"/>
  <c r="O15" i="8" s="1"/>
  <c r="F6" i="8"/>
  <c r="R6" i="8" s="1"/>
  <c r="H11" i="8"/>
  <c r="U11" i="8" s="1"/>
  <c r="I15" i="8"/>
  <c r="V15" i="8" s="1"/>
  <c r="F29" i="8"/>
  <c r="I54" i="8"/>
  <c r="V54" i="8" s="1"/>
  <c r="D59" i="8"/>
  <c r="O59" i="8" s="1"/>
  <c r="H6" i="8"/>
  <c r="U6" i="8" s="1"/>
  <c r="I11" i="8"/>
  <c r="V11" i="8" s="1"/>
  <c r="K15" i="8"/>
  <c r="Y15" i="8" s="1"/>
  <c r="K54" i="8"/>
  <c r="Y54" i="8" s="1"/>
  <c r="I59" i="8"/>
  <c r="V59" i="8" s="1"/>
  <c r="D11" i="8"/>
  <c r="O11" i="8" s="1"/>
  <c r="H54" i="8"/>
  <c r="U54" i="8" s="1"/>
  <c r="H59" i="8"/>
  <c r="U59" i="8" s="1"/>
  <c r="I63" i="8"/>
  <c r="V63" i="8" s="1"/>
  <c r="F66" i="8"/>
  <c r="R66" i="8" s="1"/>
  <c r="H76" i="8"/>
  <c r="U76" i="8" s="1"/>
  <c r="H29" i="8"/>
  <c r="U29" i="8" s="1"/>
  <c r="F54" i="8"/>
  <c r="R54" i="8" s="1"/>
  <c r="F59" i="8"/>
  <c r="R59" i="8" s="1"/>
  <c r="H63" i="8"/>
  <c r="U63" i="8" s="1"/>
  <c r="F76" i="8"/>
  <c r="D54" i="8"/>
  <c r="O54" i="8" s="1"/>
  <c r="D63" i="8"/>
  <c r="E63" i="8" s="1"/>
  <c r="K63" i="8"/>
  <c r="Y63" i="8" s="1"/>
  <c r="D66" i="8"/>
  <c r="O66" i="8" s="1"/>
  <c r="D76" i="8"/>
  <c r="E76" i="8" s="1"/>
  <c r="D6" i="8"/>
  <c r="O6" i="8" s="1"/>
  <c r="U78" i="8"/>
  <c r="P59" i="8"/>
  <c r="P70" i="8" s="1"/>
  <c r="U80" i="8"/>
  <c r="N83" i="8"/>
  <c r="O83" i="8" s="1"/>
  <c r="V18" i="8"/>
  <c r="R42" i="8"/>
  <c r="N30" i="8"/>
  <c r="O30" i="8" s="1"/>
  <c r="P41" i="8"/>
  <c r="N36" i="8"/>
  <c r="O36" i="8" s="1"/>
  <c r="N35" i="8"/>
  <c r="O35" i="8" s="1"/>
  <c r="N34" i="8"/>
  <c r="O34" i="8" s="1"/>
  <c r="H18" i="8"/>
  <c r="U18" i="8" s="1"/>
  <c r="F18" i="8"/>
  <c r="R18" i="8" s="1"/>
  <c r="D18" i="8"/>
  <c r="K18" i="8"/>
  <c r="Y18" i="8" s="1"/>
  <c r="P18" i="8"/>
  <c r="P22" i="8" s="1"/>
  <c r="U33" i="8"/>
  <c r="W33" i="8"/>
  <c r="P32" i="8"/>
  <c r="O32" i="8"/>
  <c r="P31" i="8"/>
  <c r="K31" i="8"/>
  <c r="Y31" i="8" s="1"/>
  <c r="I31" i="8"/>
  <c r="V31" i="8" s="1"/>
  <c r="H31" i="8"/>
  <c r="U31" i="8" s="1"/>
  <c r="F31" i="8"/>
  <c r="R31" i="8" s="1"/>
  <c r="D31" i="8"/>
  <c r="O31" i="8" s="1"/>
  <c r="I29" i="8"/>
  <c r="D40" i="8"/>
  <c r="E40" i="8" s="1"/>
  <c r="F40" i="8"/>
  <c r="H40" i="8"/>
  <c r="D41" i="8"/>
  <c r="O41" i="8" s="1"/>
  <c r="F41" i="8"/>
  <c r="R41" i="8" s="1"/>
  <c r="H41" i="8"/>
  <c r="U41" i="8" s="1"/>
  <c r="U43" i="8"/>
  <c r="O79" i="8"/>
  <c r="P79" i="8"/>
  <c r="P77" i="8"/>
  <c r="I40" i="8"/>
  <c r="I41" i="8"/>
  <c r="V41" i="8" s="1"/>
  <c r="K41" i="8"/>
  <c r="Y41" i="8" s="1"/>
  <c r="I78" i="8"/>
  <c r="V78" i="8" s="1"/>
  <c r="K78" i="8"/>
  <c r="Y78" i="8" s="1"/>
  <c r="P78" i="8"/>
  <c r="I87" i="8"/>
  <c r="K87" i="8"/>
  <c r="I88" i="8"/>
  <c r="V88" i="8" s="1"/>
  <c r="K88" i="8"/>
  <c r="Y88" i="8" s="1"/>
  <c r="P88" i="8"/>
  <c r="R89" i="8"/>
  <c r="W90" i="8"/>
  <c r="I66" i="8"/>
  <c r="V66" i="8" s="1"/>
  <c r="K66" i="8"/>
  <c r="Y66" i="8" s="1"/>
  <c r="I76" i="8"/>
  <c r="D78" i="8"/>
  <c r="O78" i="8" s="1"/>
  <c r="F78" i="8"/>
  <c r="R78" i="8" s="1"/>
  <c r="N81" i="8"/>
  <c r="O81" i="8" s="1"/>
  <c r="N82" i="8"/>
  <c r="O82" i="8" s="1"/>
  <c r="D87" i="8"/>
  <c r="E87" i="8" s="1"/>
  <c r="F87" i="8"/>
  <c r="D88" i="8"/>
  <c r="O88" i="8" s="1"/>
  <c r="F88" i="8"/>
  <c r="R88" i="8" s="1"/>
  <c r="E59" i="8" l="1"/>
  <c r="G59" i="8" s="1"/>
  <c r="O63" i="8"/>
  <c r="R76" i="8"/>
  <c r="R94" i="8" s="1"/>
  <c r="E11" i="8"/>
  <c r="S11" i="8" s="1"/>
  <c r="U70" i="8"/>
  <c r="E15" i="8"/>
  <c r="S15" i="8" s="1"/>
  <c r="E54" i="8"/>
  <c r="S54" i="8" s="1"/>
  <c r="Y22" i="8"/>
  <c r="V22" i="8"/>
  <c r="E41" i="8"/>
  <c r="G41" i="8" s="1"/>
  <c r="G87" i="8"/>
  <c r="J87" i="8" s="1"/>
  <c r="L87" i="8" s="1"/>
  <c r="G40" i="8"/>
  <c r="J40" i="8" s="1"/>
  <c r="L40" i="8" s="1"/>
  <c r="R29" i="8"/>
  <c r="R47" i="8" s="1"/>
  <c r="E66" i="8"/>
  <c r="G66" i="8" s="1"/>
  <c r="E6" i="8"/>
  <c r="G6" i="8" s="1"/>
  <c r="R22" i="8"/>
  <c r="Y70" i="8"/>
  <c r="U94" i="8"/>
  <c r="R70" i="8"/>
  <c r="P83" i="8"/>
  <c r="U22" i="8"/>
  <c r="P34" i="8"/>
  <c r="V94" i="8"/>
  <c r="P35" i="8"/>
  <c r="V70" i="8"/>
  <c r="O70" i="8"/>
  <c r="O72" i="8" s="1"/>
  <c r="U47" i="8"/>
  <c r="P36" i="8"/>
  <c r="P30" i="8"/>
  <c r="O76" i="8"/>
  <c r="O94" i="8" s="1"/>
  <c r="G76" i="8"/>
  <c r="J76" i="8" s="1"/>
  <c r="L76" i="8" s="1"/>
  <c r="Z76" i="8" s="1"/>
  <c r="W76" i="8"/>
  <c r="Y94" i="8"/>
  <c r="E78" i="8"/>
  <c r="P81" i="8"/>
  <c r="O29" i="8"/>
  <c r="O47" i="8" s="1"/>
  <c r="G29" i="8"/>
  <c r="J29" i="8" s="1"/>
  <c r="L29" i="8" s="1"/>
  <c r="Z29" i="8" s="1"/>
  <c r="W29" i="8"/>
  <c r="Y47" i="8"/>
  <c r="O18" i="8"/>
  <c r="O22" i="8" s="1"/>
  <c r="E18" i="8"/>
  <c r="E31" i="8"/>
  <c r="E88" i="8"/>
  <c r="P82" i="8"/>
  <c r="S63" i="8"/>
  <c r="G63" i="8"/>
  <c r="V47" i="8"/>
  <c r="X88" i="4"/>
  <c r="T88" i="4"/>
  <c r="T90" i="4"/>
  <c r="W90" i="4" s="1"/>
  <c r="T80" i="4"/>
  <c r="X78" i="4"/>
  <c r="T78" i="4"/>
  <c r="Q78" i="4"/>
  <c r="N78" i="4"/>
  <c r="X41" i="4"/>
  <c r="T43" i="4"/>
  <c r="T41" i="4"/>
  <c r="Q42" i="4"/>
  <c r="Q41" i="4"/>
  <c r="N41" i="4"/>
  <c r="X31" i="4"/>
  <c r="T31" i="4"/>
  <c r="Q31" i="4"/>
  <c r="T18" i="4"/>
  <c r="X18" i="4"/>
  <c r="X6" i="4"/>
  <c r="T6" i="4"/>
  <c r="T33" i="4" s="1"/>
  <c r="Q6" i="4"/>
  <c r="N31" i="4"/>
  <c r="Q89" i="4"/>
  <c r="R89" i="4" s="1"/>
  <c r="Q88" i="4"/>
  <c r="N88" i="4"/>
  <c r="U80" i="4"/>
  <c r="G54" i="8" l="1"/>
  <c r="J54" i="8" s="1"/>
  <c r="S59" i="8"/>
  <c r="S6" i="8"/>
  <c r="G11" i="8"/>
  <c r="W11" i="8" s="1"/>
  <c r="S66" i="8"/>
  <c r="G15" i="8"/>
  <c r="J15" i="8" s="1"/>
  <c r="S41" i="8"/>
  <c r="U99" i="8"/>
  <c r="U100" i="8" s="1"/>
  <c r="R99" i="8"/>
  <c r="R100" i="8" s="1"/>
  <c r="O99" i="8"/>
  <c r="P47" i="8"/>
  <c r="O49" i="8" s="1"/>
  <c r="P94" i="8"/>
  <c r="O96" i="8" s="1"/>
  <c r="W59" i="8"/>
  <c r="J59" i="8"/>
  <c r="S70" i="8"/>
  <c r="R72" i="8" s="1"/>
  <c r="S31" i="8"/>
  <c r="G31" i="8"/>
  <c r="O24" i="8"/>
  <c r="W6" i="8"/>
  <c r="J6" i="8"/>
  <c r="W63" i="8"/>
  <c r="J63" i="8"/>
  <c r="S88" i="8"/>
  <c r="G88" i="8"/>
  <c r="W66" i="8"/>
  <c r="J66" i="8"/>
  <c r="Z66" i="8" s="1"/>
  <c r="S18" i="8"/>
  <c r="S22" i="8" s="1"/>
  <c r="G18" i="8"/>
  <c r="W41" i="8"/>
  <c r="J41" i="8"/>
  <c r="S78" i="8"/>
  <c r="G78" i="8"/>
  <c r="Y99" i="8"/>
  <c r="U90" i="4"/>
  <c r="S89" i="4"/>
  <c r="W43" i="4"/>
  <c r="U43" i="4"/>
  <c r="S42" i="4"/>
  <c r="R42" i="4"/>
  <c r="W33" i="4"/>
  <c r="U33" i="4"/>
  <c r="Q66" i="4"/>
  <c r="Q63" i="4"/>
  <c r="Q59" i="4"/>
  <c r="Q54" i="4"/>
  <c r="X66" i="4"/>
  <c r="T66" i="4"/>
  <c r="N66" i="4"/>
  <c r="N79" i="4" s="1"/>
  <c r="X63" i="4"/>
  <c r="T63" i="4"/>
  <c r="N63" i="4"/>
  <c r="X59" i="4"/>
  <c r="T59" i="4"/>
  <c r="N59" i="4"/>
  <c r="X54" i="4"/>
  <c r="T54" i="4"/>
  <c r="N54" i="4"/>
  <c r="Q18" i="4"/>
  <c r="Q15" i="4"/>
  <c r="Q11" i="4"/>
  <c r="N18" i="4"/>
  <c r="N32" i="4" s="1"/>
  <c r="O32" i="4" s="1"/>
  <c r="X15" i="4"/>
  <c r="T15" i="4"/>
  <c r="N15" i="4"/>
  <c r="X11" i="4"/>
  <c r="T11" i="4"/>
  <c r="N11" i="4"/>
  <c r="C19" i="4"/>
  <c r="C16" i="4"/>
  <c r="W54" i="8" l="1"/>
  <c r="W70" i="8" s="1"/>
  <c r="U72" i="8" s="1"/>
  <c r="W15" i="8"/>
  <c r="J11" i="8"/>
  <c r="L11" i="8" s="1"/>
  <c r="S47" i="8"/>
  <c r="R49" i="8" s="1"/>
  <c r="P99" i="8"/>
  <c r="O104" i="8" s="1"/>
  <c r="S94" i="8"/>
  <c r="R96" i="8" s="1"/>
  <c r="R24" i="8"/>
  <c r="W78" i="8"/>
  <c r="J78" i="8"/>
  <c r="L41" i="8"/>
  <c r="Z41" i="8"/>
  <c r="W18" i="8"/>
  <c r="J18" i="8"/>
  <c r="L66" i="8"/>
  <c r="W88" i="8"/>
  <c r="J88" i="8"/>
  <c r="L54" i="8"/>
  <c r="Z54" i="8"/>
  <c r="L63" i="8"/>
  <c r="Z63" i="8"/>
  <c r="L6" i="8"/>
  <c r="Z6" i="8"/>
  <c r="L15" i="8"/>
  <c r="Z15" i="8"/>
  <c r="W31" i="8"/>
  <c r="W47" i="8" s="1"/>
  <c r="U49" i="8" s="1"/>
  <c r="J31" i="8"/>
  <c r="L59" i="8"/>
  <c r="Z59" i="8"/>
  <c r="N77" i="4"/>
  <c r="O77" i="4" s="1"/>
  <c r="N30" i="4"/>
  <c r="O30" i="4" s="1"/>
  <c r="O79" i="4"/>
  <c r="N82" i="4"/>
  <c r="N83" i="4"/>
  <c r="N81" i="4"/>
  <c r="N35" i="4"/>
  <c r="O35" i="4" s="1"/>
  <c r="N36" i="4"/>
  <c r="O36" i="4" s="1"/>
  <c r="N34" i="4"/>
  <c r="O34" i="4" s="1"/>
  <c r="J4" i="6"/>
  <c r="I22" i="6"/>
  <c r="J22" i="6" s="1"/>
  <c r="J55" i="6"/>
  <c r="I46" i="6"/>
  <c r="K46" i="6" s="1"/>
  <c r="I47" i="6"/>
  <c r="K47" i="6" s="1"/>
  <c r="I48" i="6"/>
  <c r="K48" i="6" s="1"/>
  <c r="I49" i="6"/>
  <c r="K49" i="6" s="1"/>
  <c r="I50" i="6"/>
  <c r="K50" i="6" s="1"/>
  <c r="I51" i="6"/>
  <c r="K51" i="6" s="1"/>
  <c r="I52" i="6"/>
  <c r="K52" i="6" s="1"/>
  <c r="I53" i="6"/>
  <c r="K53" i="6" s="1"/>
  <c r="I45" i="6"/>
  <c r="F46" i="6"/>
  <c r="F47" i="6"/>
  <c r="F48" i="6"/>
  <c r="F49" i="6"/>
  <c r="F50" i="6"/>
  <c r="F51" i="6"/>
  <c r="F52" i="6"/>
  <c r="F53" i="6"/>
  <c r="F45" i="6"/>
  <c r="J43" i="6"/>
  <c r="I34" i="6"/>
  <c r="K34" i="6" s="1"/>
  <c r="I35" i="6"/>
  <c r="K35" i="6" s="1"/>
  <c r="I36" i="6"/>
  <c r="K36" i="6" s="1"/>
  <c r="I37" i="6"/>
  <c r="K37" i="6" s="1"/>
  <c r="I38" i="6"/>
  <c r="K38" i="6" s="1"/>
  <c r="I39" i="6"/>
  <c r="K39" i="6" s="1"/>
  <c r="I40" i="6"/>
  <c r="K40" i="6" s="1"/>
  <c r="I41" i="6"/>
  <c r="K41" i="6" s="1"/>
  <c r="I33" i="6"/>
  <c r="F34" i="6"/>
  <c r="F35" i="6"/>
  <c r="F36" i="6"/>
  <c r="F37" i="6"/>
  <c r="F38" i="6"/>
  <c r="F39" i="6"/>
  <c r="F40" i="6"/>
  <c r="F41" i="6"/>
  <c r="F33" i="6"/>
  <c r="F29" i="6"/>
  <c r="I29" i="6" s="1"/>
  <c r="F28" i="6"/>
  <c r="I28" i="6" s="1"/>
  <c r="J28" i="6" s="1"/>
  <c r="F27" i="6"/>
  <c r="I27" i="6" s="1"/>
  <c r="F26" i="6"/>
  <c r="I26" i="6" s="1"/>
  <c r="J26" i="6" s="1"/>
  <c r="I10" i="6"/>
  <c r="F20" i="6"/>
  <c r="I20" i="6" s="1"/>
  <c r="J20" i="6" s="1"/>
  <c r="F21" i="6"/>
  <c r="I21" i="6" s="1"/>
  <c r="J21" i="6" s="1"/>
  <c r="F22" i="6"/>
  <c r="F19" i="6"/>
  <c r="I19" i="6" s="1"/>
  <c r="J19" i="6" s="1"/>
  <c r="I4" i="6"/>
  <c r="I11" i="6"/>
  <c r="J11" i="6" s="1"/>
  <c r="F9" i="3"/>
  <c r="G9" i="3"/>
  <c r="H9" i="3"/>
  <c r="H8" i="3"/>
  <c r="H7" i="3"/>
  <c r="G8" i="3"/>
  <c r="G7" i="3"/>
  <c r="F8" i="3"/>
  <c r="F7" i="3"/>
  <c r="H5" i="3"/>
  <c r="G5" i="3"/>
  <c r="F5" i="3"/>
  <c r="M85" i="5"/>
  <c r="D70" i="5"/>
  <c r="D27" i="5"/>
  <c r="K60" i="5"/>
  <c r="K57" i="5"/>
  <c r="K53" i="5"/>
  <c r="K48" i="5"/>
  <c r="M48" i="5"/>
  <c r="K18" i="5"/>
  <c r="K15" i="5"/>
  <c r="K11" i="5"/>
  <c r="K6" i="5"/>
  <c r="N39" i="5"/>
  <c r="N31" i="5"/>
  <c r="P31" i="5" s="1"/>
  <c r="N29" i="5"/>
  <c r="N6" i="5"/>
  <c r="Q18" i="5"/>
  <c r="N82" i="5"/>
  <c r="Q82" i="5"/>
  <c r="N83" i="5"/>
  <c r="N74" i="5"/>
  <c r="P74" i="5" s="1"/>
  <c r="Q72" i="5"/>
  <c r="N72" i="5"/>
  <c r="N40" i="5"/>
  <c r="Q39" i="5"/>
  <c r="Q29" i="5"/>
  <c r="N48" i="5"/>
  <c r="Q60" i="5"/>
  <c r="N60" i="5"/>
  <c r="N73" i="5" s="1"/>
  <c r="O73" i="5" s="1"/>
  <c r="Q57" i="5"/>
  <c r="N57" i="5"/>
  <c r="N71" i="5" s="1"/>
  <c r="Q53" i="5"/>
  <c r="N53" i="5"/>
  <c r="Q48" i="5"/>
  <c r="Q6" i="5"/>
  <c r="Q15" i="5"/>
  <c r="Q11" i="5"/>
  <c r="N18" i="5"/>
  <c r="N30" i="5" s="1"/>
  <c r="N15" i="5"/>
  <c r="N28" i="5" s="1"/>
  <c r="N11" i="5"/>
  <c r="C83" i="5"/>
  <c r="C74" i="5"/>
  <c r="C40" i="5"/>
  <c r="C31" i="5"/>
  <c r="O31" i="5" s="1"/>
  <c r="C77" i="5"/>
  <c r="C76" i="5"/>
  <c r="C75" i="5"/>
  <c r="C73" i="5"/>
  <c r="C71" i="5"/>
  <c r="C41" i="4"/>
  <c r="C40" i="4"/>
  <c r="I40" i="4" s="1"/>
  <c r="C36" i="4"/>
  <c r="C35" i="4"/>
  <c r="C34" i="4"/>
  <c r="C32" i="4"/>
  <c r="C31" i="4"/>
  <c r="C30" i="4"/>
  <c r="C18" i="5"/>
  <c r="F18" i="5" s="1"/>
  <c r="P70" i="5"/>
  <c r="H60" i="5"/>
  <c r="M57" i="5"/>
  <c r="C27" i="5"/>
  <c r="C17" i="5"/>
  <c r="C16" i="5"/>
  <c r="C15" i="5"/>
  <c r="C13" i="5"/>
  <c r="C12" i="5"/>
  <c r="C11" i="5"/>
  <c r="M11" i="5" s="1"/>
  <c r="C8" i="5"/>
  <c r="C7" i="5"/>
  <c r="C6" i="5"/>
  <c r="P54" i="4"/>
  <c r="I66" i="4"/>
  <c r="V66" i="4" s="1"/>
  <c r="P63" i="4"/>
  <c r="P59" i="4"/>
  <c r="C29" i="4"/>
  <c r="C18" i="4"/>
  <c r="C17" i="4"/>
  <c r="C15" i="4"/>
  <c r="P15" i="4" s="1"/>
  <c r="C13" i="4"/>
  <c r="C12" i="4"/>
  <c r="C11" i="4"/>
  <c r="P11" i="4" s="1"/>
  <c r="C8" i="4"/>
  <c r="C7" i="4"/>
  <c r="C6" i="4"/>
  <c r="P6" i="4" s="1"/>
  <c r="I29" i="4" l="1"/>
  <c r="O6" i="4"/>
  <c r="W22" i="8"/>
  <c r="U24" i="8" s="1"/>
  <c r="Z11" i="8"/>
  <c r="S99" i="8"/>
  <c r="S100" i="8" s="1"/>
  <c r="K41" i="4"/>
  <c r="I41" i="4"/>
  <c r="V41" i="4" s="1"/>
  <c r="H41" i="4"/>
  <c r="K88" i="4"/>
  <c r="I88" i="4"/>
  <c r="V88" i="4" s="1"/>
  <c r="L27" i="5"/>
  <c r="L42" i="5" s="1"/>
  <c r="D6" i="5"/>
  <c r="L6" i="5" s="1"/>
  <c r="M60" i="5"/>
  <c r="I54" i="4"/>
  <c r="V54" i="4" s="1"/>
  <c r="F76" i="4"/>
  <c r="H76" i="4"/>
  <c r="I76" i="4"/>
  <c r="K31" i="4"/>
  <c r="Y31" i="4" s="1"/>
  <c r="I31" i="4"/>
  <c r="V31" i="4" s="1"/>
  <c r="V47" i="4" s="1"/>
  <c r="K78" i="4"/>
  <c r="I78" i="4"/>
  <c r="V78" i="4" s="1"/>
  <c r="H87" i="4"/>
  <c r="K87" i="4"/>
  <c r="I87" i="4"/>
  <c r="M6" i="5"/>
  <c r="W94" i="8"/>
  <c r="U96" i="8" s="1"/>
  <c r="Z31" i="8"/>
  <c r="Z47" i="8" s="1"/>
  <c r="Y49" i="8" s="1"/>
  <c r="L31" i="8"/>
  <c r="Z70" i="8"/>
  <c r="Y72" i="8" s="1"/>
  <c r="L88" i="8"/>
  <c r="Z88" i="8"/>
  <c r="L18" i="8"/>
  <c r="Z18" i="8"/>
  <c r="L78" i="8"/>
  <c r="Z78" i="8"/>
  <c r="Z94" i="8" s="1"/>
  <c r="Y96" i="8" s="1"/>
  <c r="K18" i="4"/>
  <c r="I18" i="4"/>
  <c r="V18" i="4" s="1"/>
  <c r="I11" i="4"/>
  <c r="V11" i="4" s="1"/>
  <c r="I15" i="4"/>
  <c r="V15" i="4" s="1"/>
  <c r="I6" i="4"/>
  <c r="V6" i="4" s="1"/>
  <c r="K63" i="4"/>
  <c r="Y63" i="4" s="1"/>
  <c r="K59" i="4"/>
  <c r="Y59" i="4" s="1"/>
  <c r="I59" i="4"/>
  <c r="V59" i="4" s="1"/>
  <c r="I63" i="4"/>
  <c r="V63" i="4" s="1"/>
  <c r="P66" i="4"/>
  <c r="K66" i="4"/>
  <c r="C38" i="5"/>
  <c r="F38" i="5" s="1"/>
  <c r="G38" i="5" s="1"/>
  <c r="K40" i="4"/>
  <c r="H6" i="4"/>
  <c r="U6" i="4" s="1"/>
  <c r="K11" i="4"/>
  <c r="Y11" i="4" s="1"/>
  <c r="K6" i="4"/>
  <c r="Y6" i="4" s="1"/>
  <c r="K15" i="4"/>
  <c r="Y15" i="4" s="1"/>
  <c r="K29" i="4"/>
  <c r="F54" i="4"/>
  <c r="R54" i="4" s="1"/>
  <c r="K54" i="4"/>
  <c r="Y54" i="4" s="1"/>
  <c r="K76" i="4"/>
  <c r="H18" i="4"/>
  <c r="C81" i="5"/>
  <c r="F81" i="5" s="1"/>
  <c r="G81" i="5" s="1"/>
  <c r="P79" i="4"/>
  <c r="C72" i="5"/>
  <c r="F72" i="5" s="1"/>
  <c r="G72" i="5" s="1"/>
  <c r="P78" i="4"/>
  <c r="C82" i="5"/>
  <c r="H82" i="5" s="1"/>
  <c r="R82" i="5" s="1"/>
  <c r="P88" i="4"/>
  <c r="P77" i="4"/>
  <c r="P83" i="4"/>
  <c r="O83" i="4"/>
  <c r="O81" i="4"/>
  <c r="P81" i="4"/>
  <c r="O82" i="4"/>
  <c r="P82" i="4"/>
  <c r="C30" i="5"/>
  <c r="P30" i="5" s="1"/>
  <c r="P32" i="4"/>
  <c r="C28" i="5"/>
  <c r="P30" i="4"/>
  <c r="C33" i="5"/>
  <c r="P35" i="4"/>
  <c r="D11" i="5"/>
  <c r="L11" i="5" s="1"/>
  <c r="H6" i="5"/>
  <c r="R6" i="5" s="1"/>
  <c r="C29" i="5"/>
  <c r="F29" i="5" s="1"/>
  <c r="G29" i="5" s="1"/>
  <c r="P31" i="4"/>
  <c r="C32" i="5"/>
  <c r="P32" i="5" s="1"/>
  <c r="P34" i="4"/>
  <c r="C34" i="5"/>
  <c r="P36" i="4"/>
  <c r="C39" i="5"/>
  <c r="F39" i="5" s="1"/>
  <c r="P41" i="4"/>
  <c r="D15" i="5"/>
  <c r="E15" i="5" s="1"/>
  <c r="P15" i="5" s="1"/>
  <c r="F60" i="5"/>
  <c r="O60" i="5" s="1"/>
  <c r="H66" i="4"/>
  <c r="F18" i="4"/>
  <c r="R18" i="4" s="1"/>
  <c r="P18" i="4"/>
  <c r="P22" i="4" s="1"/>
  <c r="D18" i="4"/>
  <c r="O18" i="4" s="1"/>
  <c r="F6" i="4"/>
  <c r="R6" i="4" s="1"/>
  <c r="H15" i="5"/>
  <c r="R15" i="5" s="1"/>
  <c r="H54" i="4"/>
  <c r="U54" i="4" s="1"/>
  <c r="H59" i="4"/>
  <c r="O54" i="4"/>
  <c r="D63" i="4"/>
  <c r="O63" i="4" s="1"/>
  <c r="F63" i="4"/>
  <c r="R63" i="4" s="1"/>
  <c r="D15" i="4"/>
  <c r="O15" i="4" s="1"/>
  <c r="F15" i="4"/>
  <c r="R15" i="4" s="1"/>
  <c r="D48" i="5"/>
  <c r="E48" i="5" s="1"/>
  <c r="P48" i="5" s="1"/>
  <c r="D57" i="5"/>
  <c r="E57" i="5" s="1"/>
  <c r="P57" i="5" s="1"/>
  <c r="H57" i="5"/>
  <c r="R57" i="5" s="1"/>
  <c r="H48" i="5"/>
  <c r="R48" i="5" s="1"/>
  <c r="F53" i="5"/>
  <c r="F27" i="5"/>
  <c r="M15" i="5"/>
  <c r="D18" i="5"/>
  <c r="E18" i="5" s="1"/>
  <c r="H11" i="5"/>
  <c r="R11" i="5" s="1"/>
  <c r="H15" i="4"/>
  <c r="U15" i="4" s="1"/>
  <c r="H63" i="4"/>
  <c r="D59" i="4"/>
  <c r="O59" i="4" s="1"/>
  <c r="F59" i="4"/>
  <c r="R59" i="4" s="1"/>
  <c r="D11" i="4"/>
  <c r="O11" i="4" s="1"/>
  <c r="F11" i="4"/>
  <c r="R11" i="4" s="1"/>
  <c r="D53" i="5"/>
  <c r="E53" i="5" s="1"/>
  <c r="D60" i="5"/>
  <c r="E60" i="5" s="1"/>
  <c r="P60" i="5" s="1"/>
  <c r="H53" i="5"/>
  <c r="R53" i="5" s="1"/>
  <c r="F48" i="5"/>
  <c r="O48" i="5" s="1"/>
  <c r="F57" i="5"/>
  <c r="L70" i="5"/>
  <c r="L85" i="5" s="1"/>
  <c r="M18" i="5"/>
  <c r="J24" i="6"/>
  <c r="K21" i="6"/>
  <c r="K22" i="6"/>
  <c r="K28" i="6"/>
  <c r="J27" i="6"/>
  <c r="J29" i="6"/>
  <c r="K29" i="6" s="1"/>
  <c r="K19" i="6"/>
  <c r="I55" i="6"/>
  <c r="K45" i="6"/>
  <c r="K55" i="6" s="1"/>
  <c r="I43" i="6"/>
  <c r="K33" i="6"/>
  <c r="K43" i="6" s="1"/>
  <c r="M53" i="5"/>
  <c r="M63" i="5" s="1"/>
  <c r="I31" i="6"/>
  <c r="K26" i="6"/>
  <c r="I24" i="6"/>
  <c r="K20" i="6"/>
  <c r="K16" i="6"/>
  <c r="I6" i="6"/>
  <c r="K4" i="6"/>
  <c r="K6" i="6" s="1"/>
  <c r="K11" i="6"/>
  <c r="J10" i="6"/>
  <c r="K10" i="6" s="1"/>
  <c r="I13" i="6"/>
  <c r="M42" i="5"/>
  <c r="P40" i="5"/>
  <c r="P83" i="5"/>
  <c r="O74" i="5"/>
  <c r="N75" i="5"/>
  <c r="N77" i="5"/>
  <c r="P71" i="5"/>
  <c r="O71" i="5"/>
  <c r="P73" i="5"/>
  <c r="N76" i="5"/>
  <c r="P76" i="5" s="1"/>
  <c r="N32" i="5"/>
  <c r="O32" i="5" s="1"/>
  <c r="O40" i="5"/>
  <c r="O30" i="5"/>
  <c r="O28" i="5"/>
  <c r="N34" i="5"/>
  <c r="N33" i="5"/>
  <c r="O76" i="5"/>
  <c r="O83" i="5"/>
  <c r="O18" i="5"/>
  <c r="P27" i="5"/>
  <c r="F70" i="5"/>
  <c r="H18" i="5"/>
  <c r="R18" i="5" s="1"/>
  <c r="H70" i="5"/>
  <c r="H27" i="5"/>
  <c r="R60" i="5"/>
  <c r="D29" i="4"/>
  <c r="V70" i="4" l="1"/>
  <c r="E11" i="5"/>
  <c r="P11" i="5" s="1"/>
  <c r="V94" i="4"/>
  <c r="Z22" i="8"/>
  <c r="Z99" i="8" s="1"/>
  <c r="Y104" i="8" s="1"/>
  <c r="F82" i="5"/>
  <c r="G82" i="5" s="1"/>
  <c r="I82" i="5" s="1"/>
  <c r="S82" i="5" s="1"/>
  <c r="L60" i="5"/>
  <c r="L18" i="5"/>
  <c r="V22" i="4"/>
  <c r="E6" i="5"/>
  <c r="P6" i="5" s="1"/>
  <c r="L15" i="5"/>
  <c r="L53" i="5"/>
  <c r="L48" i="5"/>
  <c r="L57" i="5"/>
  <c r="M21" i="5"/>
  <c r="M89" i="5" s="1"/>
  <c r="G60" i="5"/>
  <c r="I60" i="5" s="1"/>
  <c r="S60" i="5" s="1"/>
  <c r="F11" i="5"/>
  <c r="O11" i="5" s="1"/>
  <c r="R104" i="8"/>
  <c r="W99" i="8"/>
  <c r="H38" i="5"/>
  <c r="I38" i="5" s="1"/>
  <c r="H29" i="5"/>
  <c r="R29" i="5" s="1"/>
  <c r="P39" i="5"/>
  <c r="F15" i="5"/>
  <c r="G15" i="5" s="1"/>
  <c r="I15" i="5" s="1"/>
  <c r="S15" i="5" s="1"/>
  <c r="H81" i="5"/>
  <c r="I81" i="5" s="1"/>
  <c r="P70" i="4"/>
  <c r="P72" i="5"/>
  <c r="O72" i="5"/>
  <c r="H72" i="5"/>
  <c r="R72" i="5" s="1"/>
  <c r="R85" i="5" s="1"/>
  <c r="P82" i="5"/>
  <c r="H39" i="5"/>
  <c r="R39" i="5" s="1"/>
  <c r="R22" i="4"/>
  <c r="P47" i="4"/>
  <c r="P94" i="4"/>
  <c r="O22" i="4"/>
  <c r="O24" i="4" s="1"/>
  <c r="P28" i="5"/>
  <c r="F6" i="5"/>
  <c r="O6" i="5" s="1"/>
  <c r="G39" i="5"/>
  <c r="O39" i="5"/>
  <c r="O29" i="5"/>
  <c r="P29" i="5"/>
  <c r="U63" i="4"/>
  <c r="U59" i="4"/>
  <c r="U66" i="4"/>
  <c r="G18" i="5"/>
  <c r="I18" i="5" s="1"/>
  <c r="P18" i="5"/>
  <c r="G53" i="5"/>
  <c r="I53" i="5" s="1"/>
  <c r="S53" i="5" s="1"/>
  <c r="P53" i="5"/>
  <c r="G57" i="5"/>
  <c r="I57" i="5" s="1"/>
  <c r="S57" i="5" s="1"/>
  <c r="G48" i="5"/>
  <c r="I48" i="5" s="1"/>
  <c r="S48" i="5" s="1"/>
  <c r="K24" i="6"/>
  <c r="J31" i="6"/>
  <c r="J62" i="6" s="1"/>
  <c r="K27" i="6"/>
  <c r="K31" i="6" s="1"/>
  <c r="I62" i="6"/>
  <c r="K13" i="6"/>
  <c r="O53" i="5"/>
  <c r="G70" i="5"/>
  <c r="I70" i="5" s="1"/>
  <c r="S70" i="5" s="1"/>
  <c r="O70" i="5"/>
  <c r="O82" i="5"/>
  <c r="P77" i="5"/>
  <c r="O77" i="5"/>
  <c r="O75" i="5"/>
  <c r="P75" i="5"/>
  <c r="O33" i="5"/>
  <c r="P33" i="5"/>
  <c r="O34" i="5"/>
  <c r="P34" i="5"/>
  <c r="R63" i="5"/>
  <c r="R21" i="5"/>
  <c r="O57" i="5"/>
  <c r="P63" i="5"/>
  <c r="G27" i="5"/>
  <c r="I27" i="5" s="1"/>
  <c r="S27" i="5" s="1"/>
  <c r="O27" i="5"/>
  <c r="E63" i="4"/>
  <c r="S63" i="4" s="1"/>
  <c r="E54" i="4"/>
  <c r="S54" i="4" s="1"/>
  <c r="E59" i="4"/>
  <c r="S59" i="4" s="1"/>
  <c r="F66" i="4"/>
  <c r="R66" i="4" s="1"/>
  <c r="R70" i="4" s="1"/>
  <c r="E18" i="4"/>
  <c r="S18" i="4" s="1"/>
  <c r="E15" i="4"/>
  <c r="S15" i="4" s="1"/>
  <c r="H11" i="4"/>
  <c r="U11" i="4" s="1"/>
  <c r="E11" i="4"/>
  <c r="S11" i="4" s="1"/>
  <c r="E6" i="4"/>
  <c r="S6" i="4" s="1"/>
  <c r="Y66" i="4"/>
  <c r="Y70" i="4" s="1"/>
  <c r="Y18" i="4"/>
  <c r="Y22" i="4" s="1"/>
  <c r="U18" i="4"/>
  <c r="F29" i="4"/>
  <c r="L63" i="5" l="1"/>
  <c r="Y24" i="8"/>
  <c r="I29" i="5"/>
  <c r="S29" i="5" s="1"/>
  <c r="L21" i="5"/>
  <c r="G11" i="5"/>
  <c r="I11" i="5" s="1"/>
  <c r="S11" i="5" s="1"/>
  <c r="G6" i="5"/>
  <c r="I6" i="5" s="1"/>
  <c r="S6" i="5" s="1"/>
  <c r="O15" i="5"/>
  <c r="O21" i="5" s="1"/>
  <c r="P21" i="5"/>
  <c r="U22" i="4"/>
  <c r="R42" i="5"/>
  <c r="R89" i="5" s="1"/>
  <c r="W100" i="8"/>
  <c r="U104" i="8"/>
  <c r="I72" i="5"/>
  <c r="S72" i="5" s="1"/>
  <c r="S85" i="5" s="1"/>
  <c r="O42" i="5"/>
  <c r="P99" i="4"/>
  <c r="S22" i="4"/>
  <c r="R24" i="4" s="1"/>
  <c r="U70" i="4"/>
  <c r="I39" i="5"/>
  <c r="S39" i="5" s="1"/>
  <c r="E66" i="4"/>
  <c r="S66" i="4" s="1"/>
  <c r="S70" i="4" s="1"/>
  <c r="O66" i="4"/>
  <c r="O70" i="4" s="1"/>
  <c r="O85" i="5"/>
  <c r="K62" i="6"/>
  <c r="P85" i="5"/>
  <c r="P42" i="5"/>
  <c r="S63" i="5"/>
  <c r="O63" i="5"/>
  <c r="G63" i="4"/>
  <c r="J63" i="4" s="1"/>
  <c r="L63" i="4" s="1"/>
  <c r="G59" i="4"/>
  <c r="J59" i="4" s="1"/>
  <c r="L59" i="4" s="1"/>
  <c r="G54" i="4"/>
  <c r="J54" i="4" s="1"/>
  <c r="L54" i="4" s="1"/>
  <c r="G15" i="4"/>
  <c r="G11" i="4"/>
  <c r="G18" i="4"/>
  <c r="G6" i="4"/>
  <c r="H29" i="4"/>
  <c r="E29" i="4"/>
  <c r="Y88" i="4"/>
  <c r="H88" i="4"/>
  <c r="U88" i="4" s="1"/>
  <c r="F88" i="4"/>
  <c r="R88" i="4" s="1"/>
  <c r="D88" i="4"/>
  <c r="F87" i="4"/>
  <c r="D87" i="4"/>
  <c r="E87" i="4" s="1"/>
  <c r="Y78" i="4"/>
  <c r="H78" i="4"/>
  <c r="U78" i="4" s="1"/>
  <c r="F78" i="4"/>
  <c r="R78" i="4" s="1"/>
  <c r="D78" i="4"/>
  <c r="D76" i="4"/>
  <c r="Y41" i="4"/>
  <c r="U41" i="4"/>
  <c r="F41" i="4"/>
  <c r="R41" i="4" s="1"/>
  <c r="D41" i="4"/>
  <c r="H40" i="4"/>
  <c r="F40" i="4"/>
  <c r="D40" i="4"/>
  <c r="E40" i="4" s="1"/>
  <c r="H31" i="4"/>
  <c r="U31" i="4" s="1"/>
  <c r="F31" i="4"/>
  <c r="R31" i="4" s="1"/>
  <c r="D31" i="4"/>
  <c r="D10" i="2"/>
  <c r="D20" i="2"/>
  <c r="D22" i="2" s="1"/>
  <c r="D18" i="2"/>
  <c r="D6" i="2"/>
  <c r="S42" i="5" l="1"/>
  <c r="L89" i="5"/>
  <c r="G12" i="3" s="1"/>
  <c r="Y94" i="4"/>
  <c r="O23" i="5"/>
  <c r="P89" i="5"/>
  <c r="W6" i="4"/>
  <c r="J6" i="4"/>
  <c r="W11" i="4"/>
  <c r="J11" i="4"/>
  <c r="L11" i="4" s="1"/>
  <c r="W18" i="4"/>
  <c r="J18" i="4"/>
  <c r="L18" i="4" s="1"/>
  <c r="W15" i="4"/>
  <c r="J15" i="4"/>
  <c r="L15" i="4" s="1"/>
  <c r="E76" i="4"/>
  <c r="W76" i="4" s="1"/>
  <c r="U76" i="4"/>
  <c r="R76" i="4"/>
  <c r="E78" i="4"/>
  <c r="O78" i="4"/>
  <c r="E88" i="4"/>
  <c r="S88" i="4" s="1"/>
  <c r="O88" i="4"/>
  <c r="E41" i="4"/>
  <c r="S41" i="4" s="1"/>
  <c r="O41" i="4"/>
  <c r="E31" i="4"/>
  <c r="S31" i="4" s="1"/>
  <c r="O31" i="4"/>
  <c r="Y47" i="4"/>
  <c r="U29" i="4"/>
  <c r="U47" i="4" s="1"/>
  <c r="R29" i="4"/>
  <c r="R47" i="4" s="1"/>
  <c r="W29" i="4"/>
  <c r="O29" i="4"/>
  <c r="G66" i="4"/>
  <c r="J66" i="4" s="1"/>
  <c r="L66" i="4" s="1"/>
  <c r="O72" i="4"/>
  <c r="Z59" i="4"/>
  <c r="W59" i="4"/>
  <c r="W54" i="4"/>
  <c r="Z63" i="4"/>
  <c r="W63" i="4"/>
  <c r="O89" i="5"/>
  <c r="G87" i="4"/>
  <c r="J87" i="4" s="1"/>
  <c r="L87" i="4" s="1"/>
  <c r="G29" i="4"/>
  <c r="G40" i="4"/>
  <c r="G88" i="4" l="1"/>
  <c r="J88" i="4" s="1"/>
  <c r="L88" i="4" s="1"/>
  <c r="J40" i="4"/>
  <c r="L40" i="4" s="1"/>
  <c r="O76" i="4"/>
  <c r="G76" i="4"/>
  <c r="J76" i="4" s="1"/>
  <c r="L76" i="4" s="1"/>
  <c r="J29" i="4"/>
  <c r="L29" i="4" s="1"/>
  <c r="Z29" i="4" s="1"/>
  <c r="S47" i="4"/>
  <c r="R49" i="4" s="1"/>
  <c r="W22" i="4"/>
  <c r="U24" i="4" s="1"/>
  <c r="Z6" i="4"/>
  <c r="Z54" i="4"/>
  <c r="R94" i="4"/>
  <c r="U94" i="4"/>
  <c r="S78" i="4"/>
  <c r="S94" i="4" s="1"/>
  <c r="G41" i="4"/>
  <c r="G78" i="4"/>
  <c r="G31" i="4"/>
  <c r="Z18" i="4"/>
  <c r="W88" i="4"/>
  <c r="O47" i="4"/>
  <c r="O49" i="4" s="1"/>
  <c r="O94" i="4"/>
  <c r="O96" i="4" s="1"/>
  <c r="Y99" i="4"/>
  <c r="W66" i="4"/>
  <c r="Z66" i="4"/>
  <c r="Z15" i="4"/>
  <c r="Z11" i="4"/>
  <c r="S18" i="5"/>
  <c r="S21" i="5" s="1"/>
  <c r="Z22" i="4" l="1"/>
  <c r="Y24" i="4" s="1"/>
  <c r="W78" i="4"/>
  <c r="W94" i="4" s="1"/>
  <c r="U96" i="4" s="1"/>
  <c r="J78" i="4"/>
  <c r="L78" i="4" s="1"/>
  <c r="W31" i="4"/>
  <c r="J31" i="4"/>
  <c r="Z31" i="4" s="1"/>
  <c r="U99" i="4"/>
  <c r="U100" i="4" s="1"/>
  <c r="W41" i="4"/>
  <c r="J41" i="4"/>
  <c r="L41" i="4" s="1"/>
  <c r="R96" i="4"/>
  <c r="Z70" i="4"/>
  <c r="Y72" i="4" s="1"/>
  <c r="S99" i="4"/>
  <c r="O99" i="4"/>
  <c r="O104" i="4" s="1"/>
  <c r="Z88" i="4"/>
  <c r="W70" i="4"/>
  <c r="U72" i="4" s="1"/>
  <c r="S89" i="5"/>
  <c r="H12" i="3" s="1"/>
  <c r="R23" i="5"/>
  <c r="Z78" i="4" l="1"/>
  <c r="W47" i="4"/>
  <c r="U49" i="4" s="1"/>
  <c r="Z41" i="4"/>
  <c r="L31" i="4"/>
  <c r="S100" i="4"/>
  <c r="Z76" i="4"/>
  <c r="Z94" i="4" s="1"/>
  <c r="Y96" i="4" s="1"/>
  <c r="Z47" i="4"/>
  <c r="R72" i="4"/>
  <c r="R99" i="4"/>
  <c r="R104" i="4" s="1"/>
  <c r="W99" i="4" l="1"/>
  <c r="W100" i="4" s="1"/>
  <c r="R100" i="4"/>
  <c r="Z99" i="4"/>
  <c r="Y104" i="4" s="1"/>
  <c r="Y49" i="4"/>
  <c r="U104" i="4" l="1"/>
</calcChain>
</file>

<file path=xl/sharedStrings.xml><?xml version="1.0" encoding="utf-8"?>
<sst xmlns="http://schemas.openxmlformats.org/spreadsheetml/2006/main" count="1762" uniqueCount="183">
  <si>
    <t>Installation</t>
  </si>
  <si>
    <t>Single User (RM)</t>
  </si>
  <si>
    <t>Multi User (RM)</t>
  </si>
  <si>
    <t>Unit Price (RM)</t>
  </si>
  <si>
    <t>Total Price (RM)</t>
  </si>
  <si>
    <t>Item</t>
  </si>
  <si>
    <t>Ad-Hoc maintenance</t>
  </si>
  <si>
    <t>On-site Support</t>
  </si>
  <si>
    <t>I-Support Maintenance (1 Year)</t>
  </si>
  <si>
    <t xml:space="preserve"> - Installation</t>
  </si>
  <si>
    <t>Training cost</t>
  </si>
  <si>
    <t>Cost Trainer</t>
  </si>
  <si>
    <t>Cost travelling</t>
  </si>
  <si>
    <t>other material</t>
  </si>
  <si>
    <t>estimade price</t>
  </si>
  <si>
    <t>PRICING</t>
  </si>
  <si>
    <t>Additional license</t>
  </si>
  <si>
    <t>On-call Support (per ticket)</t>
  </si>
  <si>
    <t xml:space="preserve">  - Free on-site support (3 times)</t>
  </si>
  <si>
    <t xml:space="preserve">  - Free on-site support (2 times)</t>
  </si>
  <si>
    <t xml:space="preserve">  - Free on-call support ( 2 times)</t>
  </si>
  <si>
    <t xml:space="preserve">  - Free on-call support ( 3 times)</t>
  </si>
  <si>
    <t xml:space="preserve">  - Free update software</t>
  </si>
  <si>
    <t>Upgrade latest version</t>
  </si>
  <si>
    <t>Grand Total Price</t>
  </si>
  <si>
    <t xml:space="preserve"> - On-site Training ( 3 Persons)</t>
  </si>
  <si>
    <t xml:space="preserve"> - On-site Training ( 1 person)</t>
  </si>
  <si>
    <t>End User (RM)</t>
  </si>
  <si>
    <t>Reseller (RM)</t>
  </si>
  <si>
    <t>Regional (RM)</t>
  </si>
  <si>
    <t>Master Dist.(RM)</t>
  </si>
  <si>
    <t>Principal(RM)</t>
  </si>
  <si>
    <t>Profit</t>
  </si>
  <si>
    <t>NIL</t>
  </si>
  <si>
    <t>Principal-Training ( full day per pax )</t>
  </si>
  <si>
    <t>Regional-Training ( 1/2 day per pax)</t>
  </si>
  <si>
    <t>Commission Scheme.</t>
  </si>
  <si>
    <t>Additional Services</t>
  </si>
  <si>
    <t>On-site Training ( 3 Person)</t>
  </si>
  <si>
    <t>Formula Multi user</t>
  </si>
  <si>
    <t>Training For Regional by Principal</t>
  </si>
  <si>
    <t>Training For Seller by Regional</t>
  </si>
  <si>
    <t>NL</t>
  </si>
  <si>
    <t>FOC</t>
  </si>
  <si>
    <t>On-site Training ( 1 person)</t>
  </si>
  <si>
    <t>On-site Training ( 1 person )</t>
  </si>
  <si>
    <t>On-site Training ( 3 persons)</t>
  </si>
  <si>
    <t>Re-issue license</t>
  </si>
  <si>
    <t>Online Training</t>
  </si>
  <si>
    <t>MyCBP</t>
  </si>
  <si>
    <t>Salihin GST</t>
  </si>
  <si>
    <t>Mast.Dist-Training ( full day per pax )</t>
  </si>
  <si>
    <t>Mast.Dist.-Training ( full day per pax )</t>
  </si>
  <si>
    <t>NIl</t>
  </si>
  <si>
    <t xml:space="preserve">Box </t>
  </si>
  <si>
    <t>Sales(RM)</t>
  </si>
  <si>
    <t>Mast. Dist</t>
  </si>
  <si>
    <t>Principal</t>
  </si>
  <si>
    <t xml:space="preserve">User </t>
  </si>
  <si>
    <t>50% from user not take installation package</t>
  </si>
  <si>
    <t>20% from user not take i-Support package</t>
  </si>
  <si>
    <t>30% from user not take on-site training package</t>
  </si>
  <si>
    <t>Grand Total</t>
  </si>
  <si>
    <t>(exclude cost for</t>
  </si>
  <si>
    <t xml:space="preserve">additional </t>
  </si>
  <si>
    <t>service )</t>
  </si>
  <si>
    <t>User</t>
  </si>
  <si>
    <t>Reseller</t>
  </si>
  <si>
    <t>Reseller(RM)</t>
  </si>
  <si>
    <t>Box Only</t>
  </si>
  <si>
    <t>Single user</t>
  </si>
  <si>
    <t>Box</t>
  </si>
  <si>
    <t>Price</t>
  </si>
  <si>
    <t>less 15%</t>
  </si>
  <si>
    <t>Multi user</t>
  </si>
  <si>
    <t xml:space="preserve">Multi User </t>
  </si>
  <si>
    <t>Packages</t>
  </si>
  <si>
    <t>Add service</t>
  </si>
  <si>
    <t>Total</t>
  </si>
  <si>
    <t>Net total</t>
  </si>
  <si>
    <t>40% from 1000</t>
  </si>
  <si>
    <t>30% from 1000</t>
  </si>
  <si>
    <t>20% from 1000</t>
  </si>
  <si>
    <t>10% from 1000</t>
  </si>
  <si>
    <t>40% from 500</t>
  </si>
  <si>
    <t>30% from 500</t>
  </si>
  <si>
    <t>20% from 500</t>
  </si>
  <si>
    <t>10% from 500</t>
  </si>
  <si>
    <t>Regional</t>
  </si>
  <si>
    <t>Sale Comm</t>
  </si>
  <si>
    <t>40% from 1500</t>
  </si>
  <si>
    <t>30% from 1500</t>
  </si>
  <si>
    <t>20% from 1500</t>
  </si>
  <si>
    <t>10% from 1500</t>
  </si>
  <si>
    <t>40% from 700</t>
  </si>
  <si>
    <t>30% from 700</t>
  </si>
  <si>
    <t>20% from 700</t>
  </si>
  <si>
    <t>10% from 700</t>
  </si>
  <si>
    <t>ROI TARGET</t>
  </si>
  <si>
    <t>1,500 boxes for 3 years</t>
  </si>
  <si>
    <t>2,200 boxes for 2 years</t>
  </si>
  <si>
    <t>4,400 boxes for 1 year</t>
  </si>
  <si>
    <t>Planing</t>
  </si>
  <si>
    <t xml:space="preserve">Exhition </t>
  </si>
  <si>
    <t>Training/seminar</t>
  </si>
  <si>
    <t>30 boxes per seminar , 24 seminar, target sale 720 boxes a year</t>
  </si>
  <si>
    <t>7 boxes for 1 day, 3 places , target sales 2-3 boxes a day each place</t>
  </si>
  <si>
    <t>10 boxes for 1 day, 5 places , target sales 2 boxes a day each place</t>
  </si>
  <si>
    <t>20 boxes for 1 day, 5 places , target sales 4 boxes a day each place</t>
  </si>
  <si>
    <t>50 boxes per exhition , 12 exhibition,  target sale 600 boxes a year</t>
  </si>
  <si>
    <t>SPS-Premium Pack</t>
  </si>
  <si>
    <t xml:space="preserve"> - SPS-Support Maintenance ( 1 year)</t>
  </si>
  <si>
    <t>SPS-Gold Pack</t>
  </si>
  <si>
    <t>SPS-Basic Pack</t>
  </si>
  <si>
    <t>SPS-Starter Pack</t>
  </si>
  <si>
    <t>SPS-Value Package for Single User</t>
  </si>
  <si>
    <t>SPS-Support Maintenance (1 Year)</t>
  </si>
  <si>
    <t>Formula Single User</t>
  </si>
  <si>
    <t>SPS-Value Package for Multi Users</t>
  </si>
  <si>
    <t>Qty</t>
  </si>
  <si>
    <t xml:space="preserve"> - Salihin Premier Solutions</t>
  </si>
  <si>
    <t xml:space="preserve"> - SPS-Support Maintenance (1 year)</t>
  </si>
  <si>
    <t>save 611</t>
  </si>
  <si>
    <t>Save 441</t>
  </si>
  <si>
    <t xml:space="preserve"> Price Diff. (RM)</t>
  </si>
  <si>
    <t>Multi Users (RM)</t>
  </si>
  <si>
    <t>Price Diff. (RM)</t>
  </si>
  <si>
    <t>SPS-Started Pack</t>
  </si>
  <si>
    <t xml:space="preserve">Salihin Premier Solutions </t>
  </si>
  <si>
    <t>SPS-Value Package for Multi User</t>
  </si>
  <si>
    <t xml:space="preserve"> - Salihin Premier Solutions </t>
  </si>
  <si>
    <t xml:space="preserve"> - Salihin Premier Solutions  </t>
  </si>
  <si>
    <t>Salihin Premier Solutions</t>
  </si>
  <si>
    <t>SBM</t>
  </si>
  <si>
    <t xml:space="preserve">SBM </t>
  </si>
  <si>
    <t xml:space="preserve"> - Salihin Premium Solutions </t>
  </si>
  <si>
    <r>
      <rPr>
        <b/>
        <sz val="12"/>
        <color theme="1"/>
        <rFont val="Calibri"/>
        <family val="2"/>
        <scheme val="minor"/>
      </rPr>
      <t xml:space="preserve">   </t>
    </r>
    <r>
      <rPr>
        <b/>
        <u/>
        <sz val="12"/>
        <color theme="1"/>
        <rFont val="Calibri"/>
        <family val="2"/>
        <scheme val="minor"/>
      </rPr>
      <t xml:space="preserve"> ---Multi Users</t>
    </r>
  </si>
  <si>
    <r>
      <rPr>
        <b/>
        <sz val="12"/>
        <color theme="1"/>
        <rFont val="Calibri"/>
        <family val="2"/>
        <scheme val="minor"/>
      </rPr>
      <t xml:space="preserve">    </t>
    </r>
    <r>
      <rPr>
        <b/>
        <u/>
        <sz val="12"/>
        <color theme="1"/>
        <rFont val="Calibri"/>
        <family val="2"/>
        <scheme val="minor"/>
      </rPr>
      <t>---Single User</t>
    </r>
  </si>
  <si>
    <t>SRP - Normal</t>
  </si>
  <si>
    <t>SRP - Promo</t>
  </si>
  <si>
    <t>= (2888*.755)+(200+350+450)</t>
  </si>
  <si>
    <t>= 2,180 + 1000</t>
  </si>
  <si>
    <t>= 3,180</t>
  </si>
  <si>
    <t>Valued at 3,888</t>
  </si>
  <si>
    <t>save 702</t>
  </si>
  <si>
    <t>save 1,026</t>
  </si>
  <si>
    <t>(2888*.855)+(200+350)</t>
  </si>
  <si>
    <t>=2,469 + 550</t>
  </si>
  <si>
    <t>=3,019</t>
  </si>
  <si>
    <t>Valued at 3,438</t>
  </si>
  <si>
    <t>save 419</t>
  </si>
  <si>
    <t>save 721</t>
  </si>
  <si>
    <t>(2888*.855)+350</t>
  </si>
  <si>
    <t>= 2,819</t>
  </si>
  <si>
    <t>= 2,469 + 350</t>
  </si>
  <si>
    <t>Valued at 3,238</t>
  </si>
  <si>
    <t>(2888*.915)</t>
  </si>
  <si>
    <t>= 2,643</t>
  </si>
  <si>
    <t>Valued at 2,888</t>
  </si>
  <si>
    <t>Save 245</t>
  </si>
  <si>
    <t>(3888*.755)+(350+550+750)</t>
  </si>
  <si>
    <t>= 2,935 + 1,650</t>
  </si>
  <si>
    <t>=4,585</t>
  </si>
  <si>
    <t>Valued at 5,538</t>
  </si>
  <si>
    <t>save 953</t>
  </si>
  <si>
    <t>save 1,411</t>
  </si>
  <si>
    <t>(3888*.855)+(350+550)</t>
  </si>
  <si>
    <t>= 3,324 + 880</t>
  </si>
  <si>
    <t>= 4,204</t>
  </si>
  <si>
    <t>Valued at 4,768</t>
  </si>
  <si>
    <t>save 564</t>
  </si>
  <si>
    <t>save 984</t>
  </si>
  <si>
    <t>(3888*.855)+550</t>
  </si>
  <si>
    <t>= 3,324 + 550</t>
  </si>
  <si>
    <t>= 3,874</t>
  </si>
  <si>
    <t>Valued at 4,438</t>
  </si>
  <si>
    <t>save 951</t>
  </si>
  <si>
    <t>(3888*.915)</t>
  </si>
  <si>
    <t>= 3,558</t>
  </si>
  <si>
    <t>Save 330</t>
  </si>
  <si>
    <t>Save 686</t>
  </si>
  <si>
    <t>Single User</t>
  </si>
  <si>
    <t>Multi Users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</si>
</sst>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43" formatCode="_(* #,##0.00_);_(* \(#,##0.00\);_(* &quot;-&quot;??_);_(@_)"/>
    <numFmt numFmtId="164" formatCode="_(* #,##0.00_);_(* \(#,##0.00\);_(* &quot;-&quot;_);_(@_)"/>
    <numFmt numFmtId="165" formatCode="_(* #,##0.0_);_(* \(#,##0.0\);_(* &quot;-&quot;_);_(@_)"/>
    <numFmt numFmtId="166" formatCode="_(* #,##0_);_(* \(#,##0\);_(* &quot;-&quot;??_);_(@_)"/>
  </numFmts>
  <fonts count="17" x14ac:knownFonts="1">
    <font>
      <sz val="10"/>
      <color theme="1"/>
      <name val="MS Sans Serif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MS Sans Serif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0"/>
      <color theme="1"/>
      <name val="MS Sans Serif"/>
      <family val="2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437">
    <xf numFmtId="0" fontId="0" fillId="0" borderId="0" xfId="0"/>
    <xf numFmtId="0" fontId="8" fillId="0" borderId="0" xfId="0" applyFont="1"/>
    <xf numFmtId="0" fontId="9" fillId="0" borderId="0" xfId="0" applyFont="1"/>
    <xf numFmtId="0" fontId="8" fillId="0" borderId="1" xfId="0" applyFont="1" applyBorder="1"/>
    <xf numFmtId="0" fontId="9" fillId="0" borderId="1" xfId="0" applyFont="1" applyBorder="1"/>
    <xf numFmtId="0" fontId="8" fillId="0" borderId="2" xfId="0" applyFont="1" applyBorder="1"/>
    <xf numFmtId="0" fontId="9" fillId="0" borderId="2" xfId="0" applyFont="1" applyBorder="1"/>
    <xf numFmtId="164" fontId="9" fillId="0" borderId="2" xfId="1" applyNumberFormat="1" applyFont="1" applyBorder="1"/>
    <xf numFmtId="0" fontId="11" fillId="0" borderId="1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Border="1"/>
    <xf numFmtId="164" fontId="8" fillId="0" borderId="0" xfId="1" applyNumberFormat="1" applyFont="1" applyBorder="1"/>
    <xf numFmtId="0" fontId="8" fillId="0" borderId="3" xfId="0" applyFont="1" applyBorder="1"/>
    <xf numFmtId="0" fontId="9" fillId="0" borderId="3" xfId="0" applyFont="1" applyBorder="1"/>
    <xf numFmtId="164" fontId="9" fillId="0" borderId="3" xfId="1" applyNumberFormat="1" applyFont="1" applyBorder="1"/>
    <xf numFmtId="0" fontId="8" fillId="0" borderId="4" xfId="0" applyFont="1" applyBorder="1"/>
    <xf numFmtId="0" fontId="8" fillId="0" borderId="6" xfId="0" applyFont="1" applyBorder="1"/>
    <xf numFmtId="0" fontId="8" fillId="0" borderId="8" xfId="0" applyFont="1" applyBorder="1"/>
    <xf numFmtId="0" fontId="8" fillId="0" borderId="0" xfId="0" applyFont="1" applyBorder="1" applyAlignment="1">
      <alignment horizontal="left"/>
    </xf>
    <xf numFmtId="0" fontId="9" fillId="0" borderId="0" xfId="0" applyFont="1" applyBorder="1"/>
    <xf numFmtId="0" fontId="9" fillId="0" borderId="7" xfId="0" applyFont="1" applyBorder="1"/>
    <xf numFmtId="0" fontId="9" fillId="0" borderId="6" xfId="0" applyFont="1" applyBorder="1"/>
    <xf numFmtId="0" fontId="9" fillId="0" borderId="8" xfId="0" applyFont="1" applyBorder="1"/>
    <xf numFmtId="0" fontId="9" fillId="0" borderId="4" xfId="0" applyFont="1" applyBorder="1"/>
    <xf numFmtId="0" fontId="11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164" fontId="9" fillId="0" borderId="8" xfId="1" applyNumberFormat="1" applyFont="1" applyBorder="1"/>
    <xf numFmtId="0" fontId="8" fillId="0" borderId="3" xfId="0" applyFont="1" applyBorder="1" applyAlignment="1">
      <alignment horizontal="left"/>
    </xf>
    <xf numFmtId="164" fontId="9" fillId="0" borderId="3" xfId="1" applyNumberFormat="1" applyFont="1" applyBorder="1" applyAlignment="1">
      <alignment horizontal="left"/>
    </xf>
    <xf numFmtId="3" fontId="0" fillId="0" borderId="0" xfId="0" applyNumberFormat="1"/>
    <xf numFmtId="0" fontId="0" fillId="0" borderId="0" xfId="0" applyBorder="1"/>
    <xf numFmtId="0" fontId="0" fillId="0" borderId="7" xfId="0" applyBorder="1"/>
    <xf numFmtId="164" fontId="12" fillId="0" borderId="8" xfId="1" applyNumberFormat="1" applyFont="1" applyBorder="1" applyAlignment="1">
      <alignment horizontal="right"/>
    </xf>
    <xf numFmtId="0" fontId="13" fillId="0" borderId="0" xfId="0" applyFont="1" applyBorder="1"/>
    <xf numFmtId="0" fontId="10" fillId="0" borderId="0" xfId="0" applyFont="1"/>
    <xf numFmtId="0" fontId="13" fillId="0" borderId="0" xfId="0" applyFont="1"/>
    <xf numFmtId="164" fontId="12" fillId="0" borderId="2" xfId="1" applyNumberFormat="1" applyFont="1" applyBorder="1" applyAlignment="1">
      <alignment horizontal="right"/>
    </xf>
    <xf numFmtId="0" fontId="9" fillId="0" borderId="1" xfId="0" applyFont="1" applyBorder="1" applyAlignment="1">
      <alignment horizontal="left"/>
    </xf>
    <xf numFmtId="9" fontId="9" fillId="0" borderId="0" xfId="0" applyNumberFormat="1" applyFont="1"/>
    <xf numFmtId="0" fontId="11" fillId="0" borderId="4" xfId="0" applyFont="1" applyBorder="1" applyAlignment="1">
      <alignment horizontal="center"/>
    </xf>
    <xf numFmtId="164" fontId="9" fillId="0" borderId="9" xfId="1" applyNumberFormat="1" applyFont="1" applyBorder="1" applyAlignment="1">
      <alignment horizontal="center"/>
    </xf>
    <xf numFmtId="164" fontId="9" fillId="0" borderId="6" xfId="1" applyNumberFormat="1" applyFont="1" applyBorder="1"/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43" fontId="9" fillId="0" borderId="13" xfId="0" applyNumberFormat="1" applyFont="1" applyBorder="1" applyAlignment="1">
      <alignment horizontal="center"/>
    </xf>
    <xf numFmtId="43" fontId="9" fillId="0" borderId="14" xfId="0" applyNumberFormat="1" applyFont="1" applyBorder="1" applyAlignment="1">
      <alignment horizontal="center"/>
    </xf>
    <xf numFmtId="164" fontId="9" fillId="0" borderId="15" xfId="1" applyNumberFormat="1" applyFont="1" applyBorder="1" applyAlignment="1">
      <alignment horizontal="center"/>
    </xf>
    <xf numFmtId="164" fontId="9" fillId="0" borderId="16" xfId="1" applyNumberFormat="1" applyFont="1" applyBorder="1" applyAlignment="1">
      <alignment horizontal="center"/>
    </xf>
    <xf numFmtId="164" fontId="9" fillId="0" borderId="13" xfId="1" applyNumberFormat="1" applyFont="1" applyBorder="1" applyAlignment="1">
      <alignment horizontal="center"/>
    </xf>
    <xf numFmtId="164" fontId="9" fillId="0" borderId="14" xfId="1" applyNumberFormat="1" applyFont="1" applyBorder="1" applyAlignment="1">
      <alignment horizontal="center"/>
    </xf>
    <xf numFmtId="164" fontId="9" fillId="0" borderId="17" xfId="1" applyNumberFormat="1" applyFont="1" applyBorder="1"/>
    <xf numFmtId="164" fontId="9" fillId="0" borderId="18" xfId="1" applyNumberFormat="1" applyFont="1" applyBorder="1"/>
    <xf numFmtId="164" fontId="9" fillId="0" borderId="15" xfId="1" applyNumberFormat="1" applyFont="1" applyBorder="1"/>
    <xf numFmtId="164" fontId="9" fillId="0" borderId="4" xfId="1" applyNumberFormat="1" applyFont="1" applyBorder="1"/>
    <xf numFmtId="164" fontId="9" fillId="0" borderId="9" xfId="1" applyNumberFormat="1" applyFont="1" applyBorder="1" applyAlignment="1">
      <alignment horizontal="left"/>
    </xf>
    <xf numFmtId="164" fontId="9" fillId="0" borderId="9" xfId="1" applyNumberFormat="1" applyFont="1" applyBorder="1"/>
    <xf numFmtId="164" fontId="9" fillId="0" borderId="9" xfId="1" applyNumberFormat="1" applyFont="1" applyBorder="1" applyAlignment="1">
      <alignment horizontal="right"/>
    </xf>
    <xf numFmtId="164" fontId="9" fillId="0" borderId="13" xfId="1" applyNumberFormat="1" applyFont="1" applyBorder="1"/>
    <xf numFmtId="164" fontId="9" fillId="0" borderId="15" xfId="1" applyNumberFormat="1" applyFont="1" applyBorder="1" applyAlignment="1">
      <alignment horizontal="left"/>
    </xf>
    <xf numFmtId="164" fontId="9" fillId="0" borderId="14" xfId="1" applyNumberFormat="1" applyFont="1" applyBorder="1"/>
    <xf numFmtId="164" fontId="9" fillId="0" borderId="4" xfId="1" applyNumberFormat="1" applyFont="1" applyBorder="1" applyAlignment="1">
      <alignment horizontal="left"/>
    </xf>
    <xf numFmtId="164" fontId="12" fillId="0" borderId="6" xfId="1" applyNumberFormat="1" applyFont="1" applyBorder="1" applyAlignment="1">
      <alignment horizontal="right"/>
    </xf>
    <xf numFmtId="164" fontId="9" fillId="0" borderId="21" xfId="1" applyNumberFormat="1" applyFont="1" applyBorder="1"/>
    <xf numFmtId="0" fontId="11" fillId="0" borderId="22" xfId="0" applyFont="1" applyBorder="1" applyAlignment="1">
      <alignment horizontal="center"/>
    </xf>
    <xf numFmtId="164" fontId="9" fillId="0" borderId="13" xfId="1" applyNumberFormat="1" applyFont="1" applyBorder="1" applyAlignment="1">
      <alignment horizontal="left"/>
    </xf>
    <xf numFmtId="164" fontId="9" fillId="0" borderId="25" xfId="1" applyNumberFormat="1" applyFont="1" applyBorder="1"/>
    <xf numFmtId="164" fontId="9" fillId="0" borderId="0" xfId="1" applyNumberFormat="1" applyFont="1"/>
    <xf numFmtId="9" fontId="9" fillId="0" borderId="0" xfId="2" applyFont="1"/>
    <xf numFmtId="0" fontId="9" fillId="0" borderId="3" xfId="0" applyFont="1" applyBorder="1" applyAlignment="1">
      <alignment horizontal="left"/>
    </xf>
    <xf numFmtId="164" fontId="9" fillId="0" borderId="14" xfId="1" applyNumberFormat="1" applyFont="1" applyBorder="1" applyAlignment="1">
      <alignment horizontal="left"/>
    </xf>
    <xf numFmtId="164" fontId="9" fillId="0" borderId="17" xfId="1" applyNumberFormat="1" applyFont="1" applyBorder="1" applyAlignment="1">
      <alignment horizontal="right"/>
    </xf>
    <xf numFmtId="164" fontId="9" fillId="0" borderId="26" xfId="1" applyNumberFormat="1" applyFont="1" applyBorder="1"/>
    <xf numFmtId="164" fontId="9" fillId="0" borderId="21" xfId="1" applyNumberFormat="1" applyFont="1" applyBorder="1" applyAlignment="1">
      <alignment horizontal="right"/>
    </xf>
    <xf numFmtId="164" fontId="9" fillId="0" borderId="27" xfId="1" applyNumberFormat="1" applyFont="1" applyBorder="1" applyAlignment="1">
      <alignment horizontal="right"/>
    </xf>
    <xf numFmtId="164" fontId="9" fillId="0" borderId="28" xfId="1" applyNumberFormat="1" applyFont="1" applyBorder="1"/>
    <xf numFmtId="164" fontId="9" fillId="0" borderId="27" xfId="1" applyNumberFormat="1" applyFont="1" applyBorder="1"/>
    <xf numFmtId="43" fontId="9" fillId="0" borderId="23" xfId="0" applyNumberFormat="1" applyFont="1" applyBorder="1" applyAlignment="1">
      <alignment horizontal="center"/>
    </xf>
    <xf numFmtId="164" fontId="9" fillId="0" borderId="29" xfId="1" applyNumberFormat="1" applyFont="1" applyBorder="1" applyAlignment="1">
      <alignment horizontal="center"/>
    </xf>
    <xf numFmtId="164" fontId="9" fillId="0" borderId="23" xfId="1" applyNumberFormat="1" applyFont="1" applyBorder="1" applyAlignment="1">
      <alignment horizontal="center"/>
    </xf>
    <xf numFmtId="164" fontId="9" fillId="0" borderId="24" xfId="1" applyNumberFormat="1" applyFont="1" applyBorder="1"/>
    <xf numFmtId="164" fontId="9" fillId="0" borderId="29" xfId="1" applyNumberFormat="1" applyFont="1" applyBorder="1"/>
    <xf numFmtId="43" fontId="9" fillId="0" borderId="16" xfId="0" applyNumberFormat="1" applyFont="1" applyBorder="1" applyAlignment="1">
      <alignment horizontal="center"/>
    </xf>
    <xf numFmtId="0" fontId="12" fillId="0" borderId="6" xfId="1" applyNumberFormat="1" applyFont="1" applyBorder="1" applyAlignment="1">
      <alignment horizontal="right"/>
    </xf>
    <xf numFmtId="0" fontId="11" fillId="0" borderId="31" xfId="0" applyFont="1" applyBorder="1" applyAlignment="1">
      <alignment horizontal="center"/>
    </xf>
    <xf numFmtId="43" fontId="9" fillId="0" borderId="4" xfId="0" applyNumberFormat="1" applyFont="1" applyBorder="1" applyAlignment="1">
      <alignment horizontal="center"/>
    </xf>
    <xf numFmtId="164" fontId="9" fillId="0" borderId="4" xfId="1" applyNumberFormat="1" applyFont="1" applyBorder="1" applyAlignment="1">
      <alignment horizontal="center"/>
    </xf>
    <xf numFmtId="43" fontId="9" fillId="0" borderId="9" xfId="0" applyNumberFormat="1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6" fillId="0" borderId="1" xfId="0" applyFont="1" applyBorder="1"/>
    <xf numFmtId="164" fontId="6" fillId="0" borderId="16" xfId="1" applyNumberFormat="1" applyFont="1" applyBorder="1" applyAlignment="1">
      <alignment horizontal="center"/>
    </xf>
    <xf numFmtId="164" fontId="6" fillId="0" borderId="15" xfId="1" applyNumberFormat="1" applyFont="1" applyBorder="1" applyAlignment="1">
      <alignment horizontal="center"/>
    </xf>
    <xf numFmtId="9" fontId="6" fillId="0" borderId="0" xfId="2" applyFont="1" applyAlignment="1">
      <alignment horizontal="center"/>
    </xf>
    <xf numFmtId="0" fontId="6" fillId="0" borderId="3" xfId="0" applyFont="1" applyBorder="1"/>
    <xf numFmtId="164" fontId="9" fillId="0" borderId="19" xfId="1" applyNumberFormat="1" applyFont="1" applyBorder="1" applyAlignment="1">
      <alignment horizontal="center"/>
    </xf>
    <xf numFmtId="43" fontId="9" fillId="0" borderId="20" xfId="0" applyNumberFormat="1" applyFont="1" applyBorder="1" applyAlignment="1">
      <alignment horizontal="center"/>
    </xf>
    <xf numFmtId="164" fontId="9" fillId="0" borderId="19" xfId="1" applyNumberFormat="1" applyFont="1" applyBorder="1"/>
    <xf numFmtId="164" fontId="6" fillId="0" borderId="29" xfId="1" applyNumberFormat="1" applyFont="1" applyBorder="1" applyAlignment="1">
      <alignment horizontal="center"/>
    </xf>
    <xf numFmtId="164" fontId="6" fillId="0" borderId="9" xfId="1" applyNumberFormat="1" applyFont="1" applyBorder="1" applyAlignment="1">
      <alignment horizontal="center"/>
    </xf>
    <xf numFmtId="164" fontId="9" fillId="0" borderId="30" xfId="1" applyNumberFormat="1" applyFont="1" applyBorder="1"/>
    <xf numFmtId="43" fontId="8" fillId="0" borderId="34" xfId="0" applyNumberFormat="1" applyFont="1" applyBorder="1" applyAlignment="1">
      <alignment horizontal="left"/>
    </xf>
    <xf numFmtId="41" fontId="8" fillId="0" borderId="33" xfId="1" applyFont="1" applyBorder="1"/>
    <xf numFmtId="0" fontId="8" fillId="0" borderId="34" xfId="0" applyFont="1" applyBorder="1"/>
    <xf numFmtId="0" fontId="8" fillId="0" borderId="37" xfId="0" applyFont="1" applyBorder="1"/>
    <xf numFmtId="43" fontId="8" fillId="0" borderId="38" xfId="0" applyNumberFormat="1" applyFont="1" applyBorder="1" applyAlignment="1">
      <alignment horizontal="left"/>
    </xf>
    <xf numFmtId="0" fontId="8" fillId="0" borderId="39" xfId="0" applyFont="1" applyBorder="1"/>
    <xf numFmtId="0" fontId="11" fillId="0" borderId="40" xfId="0" applyFont="1" applyBorder="1" applyAlignment="1">
      <alignment horizontal="center"/>
    </xf>
    <xf numFmtId="0" fontId="11" fillId="0" borderId="41" xfId="0" applyFont="1" applyBorder="1" applyAlignment="1">
      <alignment horizontal="center"/>
    </xf>
    <xf numFmtId="41" fontId="8" fillId="0" borderId="13" xfId="1" applyFont="1" applyBorder="1" applyAlignment="1">
      <alignment horizontal="left"/>
    </xf>
    <xf numFmtId="41" fontId="8" fillId="0" borderId="17" xfId="1" applyFont="1" applyBorder="1"/>
    <xf numFmtId="41" fontId="8" fillId="0" borderId="25" xfId="1" applyFont="1" applyBorder="1"/>
    <xf numFmtId="41" fontId="8" fillId="0" borderId="13" xfId="1" applyFont="1" applyBorder="1"/>
    <xf numFmtId="41" fontId="8" fillId="0" borderId="27" xfId="1" applyFont="1" applyBorder="1"/>
    <xf numFmtId="0" fontId="8" fillId="0" borderId="27" xfId="0" applyFont="1" applyBorder="1"/>
    <xf numFmtId="43" fontId="8" fillId="0" borderId="0" xfId="0" applyNumberFormat="1" applyFont="1"/>
    <xf numFmtId="164" fontId="8" fillId="0" borderId="3" xfId="1" applyNumberFormat="1" applyFont="1" applyBorder="1" applyAlignment="1">
      <alignment horizontal="left"/>
    </xf>
    <xf numFmtId="164" fontId="8" fillId="0" borderId="8" xfId="1" applyNumberFormat="1" applyFont="1" applyBorder="1"/>
    <xf numFmtId="164" fontId="8" fillId="0" borderId="2" xfId="1" applyNumberFormat="1" applyFont="1" applyBorder="1"/>
    <xf numFmtId="41" fontId="8" fillId="0" borderId="13" xfId="1" applyNumberFormat="1" applyFont="1" applyBorder="1" applyAlignment="1">
      <alignment horizontal="left"/>
    </xf>
    <xf numFmtId="0" fontId="8" fillId="0" borderId="0" xfId="0" applyFont="1" applyAlignment="1">
      <alignment horizontal="center"/>
    </xf>
    <xf numFmtId="164" fontId="8" fillId="0" borderId="1" xfId="1" applyNumberFormat="1" applyFont="1" applyBorder="1"/>
    <xf numFmtId="164" fontId="8" fillId="0" borderId="1" xfId="1" applyNumberFormat="1" applyFont="1" applyBorder="1" applyAlignment="1">
      <alignment horizontal="left"/>
    </xf>
    <xf numFmtId="164" fontId="8" fillId="0" borderId="3" xfId="1" applyNumberFormat="1" applyFont="1" applyBorder="1"/>
    <xf numFmtId="164" fontId="8" fillId="0" borderId="0" xfId="1" applyNumberFormat="1" applyFont="1" applyBorder="1" applyAlignment="1">
      <alignment horizontal="left"/>
    </xf>
    <xf numFmtId="164" fontId="8" fillId="0" borderId="5" xfId="1" applyNumberFormat="1" applyFont="1" applyBorder="1"/>
    <xf numFmtId="164" fontId="8" fillId="0" borderId="7" xfId="1" applyNumberFormat="1" applyFont="1" applyBorder="1"/>
    <xf numFmtId="0" fontId="11" fillId="0" borderId="42" xfId="0" applyFont="1" applyBorder="1" applyAlignment="1">
      <alignment horizontal="center"/>
    </xf>
    <xf numFmtId="164" fontId="8" fillId="0" borderId="43" xfId="1" applyNumberFormat="1" applyFont="1" applyBorder="1"/>
    <xf numFmtId="41" fontId="8" fillId="0" borderId="15" xfId="1" applyFont="1" applyBorder="1"/>
    <xf numFmtId="0" fontId="8" fillId="0" borderId="16" xfId="0" applyFont="1" applyBorder="1"/>
    <xf numFmtId="43" fontId="8" fillId="0" borderId="16" xfId="0" applyNumberFormat="1" applyFont="1" applyBorder="1" applyAlignment="1">
      <alignment horizontal="left"/>
    </xf>
    <xf numFmtId="41" fontId="8" fillId="0" borderId="44" xfId="1" applyFont="1" applyBorder="1"/>
    <xf numFmtId="0" fontId="8" fillId="0" borderId="38" xfId="0" applyFont="1" applyBorder="1"/>
    <xf numFmtId="41" fontId="8" fillId="0" borderId="45" xfId="1" applyFont="1" applyBorder="1"/>
    <xf numFmtId="41" fontId="8" fillId="0" borderId="19" xfId="1" applyFont="1" applyBorder="1"/>
    <xf numFmtId="164" fontId="8" fillId="0" borderId="46" xfId="1" applyNumberFormat="1" applyFont="1" applyBorder="1"/>
    <xf numFmtId="0" fontId="8" fillId="0" borderId="20" xfId="0" applyFont="1" applyBorder="1"/>
    <xf numFmtId="0" fontId="8" fillId="0" borderId="19" xfId="0" applyFont="1" applyBorder="1"/>
    <xf numFmtId="0" fontId="6" fillId="0" borderId="0" xfId="0" applyFont="1"/>
    <xf numFmtId="164" fontId="8" fillId="0" borderId="16" xfId="1" applyNumberFormat="1" applyFont="1" applyBorder="1"/>
    <xf numFmtId="164" fontId="8" fillId="0" borderId="38" xfId="1" applyNumberFormat="1" applyFont="1" applyBorder="1"/>
    <xf numFmtId="164" fontId="8" fillId="0" borderId="34" xfId="1" applyNumberFormat="1" applyFont="1" applyBorder="1"/>
    <xf numFmtId="164" fontId="8" fillId="0" borderId="34" xfId="1" applyNumberFormat="1" applyFont="1" applyBorder="1" applyAlignment="1">
      <alignment horizontal="left"/>
    </xf>
    <xf numFmtId="164" fontId="8" fillId="0" borderId="39" xfId="1" applyNumberFormat="1" applyFont="1" applyBorder="1"/>
    <xf numFmtId="164" fontId="8" fillId="0" borderId="16" xfId="1" applyNumberFormat="1" applyFont="1" applyBorder="1" applyAlignment="1">
      <alignment horizontal="left"/>
    </xf>
    <xf numFmtId="164" fontId="8" fillId="0" borderId="20" xfId="1" applyNumberFormat="1" applyFont="1" applyBorder="1"/>
    <xf numFmtId="164" fontId="8" fillId="0" borderId="14" xfId="1" applyNumberFormat="1" applyFont="1" applyBorder="1"/>
    <xf numFmtId="9" fontId="8" fillId="0" borderId="17" xfId="1" applyNumberFormat="1" applyFont="1" applyBorder="1"/>
    <xf numFmtId="9" fontId="8" fillId="0" borderId="0" xfId="2" applyFont="1"/>
    <xf numFmtId="164" fontId="6" fillId="0" borderId="0" xfId="1" applyNumberFormat="1" applyFont="1"/>
    <xf numFmtId="164" fontId="6" fillId="0" borderId="15" xfId="1" applyNumberFormat="1" applyFont="1" applyBorder="1" applyAlignment="1">
      <alignment horizontal="left"/>
    </xf>
    <xf numFmtId="164" fontId="6" fillId="0" borderId="13" xfId="1" applyNumberFormat="1" applyFont="1" applyBorder="1"/>
    <xf numFmtId="43" fontId="6" fillId="0" borderId="14" xfId="0" applyNumberFormat="1" applyFont="1" applyBorder="1" applyAlignment="1">
      <alignment horizontal="center"/>
    </xf>
    <xf numFmtId="164" fontId="6" fillId="0" borderId="15" xfId="1" applyNumberFormat="1" applyFont="1" applyBorder="1"/>
    <xf numFmtId="164" fontId="6" fillId="0" borderId="14" xfId="1" applyNumberFormat="1" applyFont="1" applyBorder="1" applyAlignment="1">
      <alignment horizontal="center"/>
    </xf>
    <xf numFmtId="164" fontId="6" fillId="0" borderId="19" xfId="1" applyNumberFormat="1" applyFont="1" applyBorder="1"/>
    <xf numFmtId="43" fontId="6" fillId="0" borderId="20" xfId="0" applyNumberFormat="1" applyFont="1" applyBorder="1" applyAlignment="1">
      <alignment horizontal="center"/>
    </xf>
    <xf numFmtId="41" fontId="0" fillId="0" borderId="0" xfId="1" applyFont="1"/>
    <xf numFmtId="165" fontId="0" fillId="0" borderId="0" xfId="1" applyNumberFormat="1" applyFont="1"/>
    <xf numFmtId="164" fontId="0" fillId="0" borderId="0" xfId="1" applyNumberFormat="1" applyFont="1"/>
    <xf numFmtId="43" fontId="0" fillId="0" borderId="0" xfId="0" applyNumberFormat="1"/>
    <xf numFmtId="164" fontId="0" fillId="0" borderId="7" xfId="1" applyNumberFormat="1" applyFont="1" applyBorder="1"/>
    <xf numFmtId="43" fontId="0" fillId="0" borderId="7" xfId="0" applyNumberFormat="1" applyBorder="1"/>
    <xf numFmtId="164" fontId="8" fillId="0" borderId="47" xfId="1" applyNumberFormat="1" applyFont="1" applyBorder="1"/>
    <xf numFmtId="41" fontId="8" fillId="0" borderId="48" xfId="1" applyFont="1" applyBorder="1"/>
    <xf numFmtId="164" fontId="8" fillId="0" borderId="8" xfId="1" applyNumberFormat="1" applyFont="1" applyBorder="1" applyAlignment="1">
      <alignment horizontal="left"/>
    </xf>
    <xf numFmtId="164" fontId="0" fillId="0" borderId="0" xfId="0" applyNumberFormat="1"/>
    <xf numFmtId="9" fontId="0" fillId="0" borderId="0" xfId="2" applyNumberFormat="1" applyFont="1"/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33" xfId="0" applyBorder="1"/>
    <xf numFmtId="164" fontId="0" fillId="0" borderId="0" xfId="1" applyNumberFormat="1" applyFont="1" applyBorder="1"/>
    <xf numFmtId="164" fontId="0" fillId="0" borderId="34" xfId="1" applyNumberFormat="1" applyFont="1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164" fontId="0" fillId="0" borderId="5" xfId="1" applyNumberFormat="1" applyFont="1" applyBorder="1"/>
    <xf numFmtId="0" fontId="9" fillId="0" borderId="3" xfId="0" applyFont="1" applyFill="1" applyBorder="1"/>
    <xf numFmtId="164" fontId="9" fillId="0" borderId="4" xfId="1" applyNumberFormat="1" applyFont="1" applyFill="1" applyBorder="1"/>
    <xf numFmtId="164" fontId="9" fillId="0" borderId="13" xfId="1" applyNumberFormat="1" applyFont="1" applyFill="1" applyBorder="1"/>
    <xf numFmtId="43" fontId="9" fillId="0" borderId="14" xfId="0" applyNumberFormat="1" applyFont="1" applyFill="1" applyBorder="1" applyAlignment="1">
      <alignment horizontal="center"/>
    </xf>
    <xf numFmtId="43" fontId="9" fillId="0" borderId="13" xfId="0" applyNumberFormat="1" applyFont="1" applyFill="1" applyBorder="1" applyAlignment="1">
      <alignment horizontal="center"/>
    </xf>
    <xf numFmtId="0" fontId="8" fillId="0" borderId="0" xfId="0" applyFont="1" applyFill="1"/>
    <xf numFmtId="41" fontId="8" fillId="0" borderId="13" xfId="1" applyFont="1" applyFill="1" applyBorder="1"/>
    <xf numFmtId="164" fontId="8" fillId="0" borderId="3" xfId="1" applyNumberFormat="1" applyFont="1" applyFill="1" applyBorder="1" applyAlignment="1">
      <alignment horizontal="left"/>
    </xf>
    <xf numFmtId="43" fontId="8" fillId="0" borderId="38" xfId="0" applyNumberFormat="1" applyFont="1" applyFill="1" applyBorder="1" applyAlignment="1">
      <alignment horizontal="left"/>
    </xf>
    <xf numFmtId="0" fontId="6" fillId="0" borderId="0" xfId="0" applyFont="1" applyFill="1"/>
    <xf numFmtId="0" fontId="9" fillId="0" borderId="2" xfId="0" applyFont="1" applyFill="1" applyBorder="1"/>
    <xf numFmtId="164" fontId="9" fillId="0" borderId="21" xfId="1" applyNumberFormat="1" applyFont="1" applyFill="1" applyBorder="1" applyAlignment="1">
      <alignment horizontal="right"/>
    </xf>
    <xf numFmtId="164" fontId="9" fillId="0" borderId="27" xfId="1" applyNumberFormat="1" applyFont="1" applyFill="1" applyBorder="1" applyAlignment="1">
      <alignment horizontal="right"/>
    </xf>
    <xf numFmtId="164" fontId="9" fillId="0" borderId="28" xfId="1" applyNumberFormat="1" applyFont="1" applyFill="1" applyBorder="1"/>
    <xf numFmtId="164" fontId="9" fillId="0" borderId="27" xfId="1" applyNumberFormat="1" applyFont="1" applyFill="1" applyBorder="1"/>
    <xf numFmtId="41" fontId="8" fillId="0" borderId="27" xfId="1" applyFont="1" applyFill="1" applyBorder="1"/>
    <xf numFmtId="164" fontId="8" fillId="0" borderId="43" xfId="1" applyNumberFormat="1" applyFont="1" applyFill="1" applyBorder="1"/>
    <xf numFmtId="0" fontId="8" fillId="0" borderId="37" xfId="0" applyFont="1" applyFill="1" applyBorder="1"/>
    <xf numFmtId="0" fontId="8" fillId="0" borderId="27" xfId="0" applyFont="1" applyFill="1" applyBorder="1"/>
    <xf numFmtId="43" fontId="8" fillId="0" borderId="8" xfId="0" applyNumberFormat="1" applyFont="1" applyBorder="1" applyAlignment="1">
      <alignment horizontal="left"/>
    </xf>
    <xf numFmtId="43" fontId="9" fillId="0" borderId="18" xfId="0" applyNumberFormat="1" applyFont="1" applyBorder="1" applyAlignment="1">
      <alignment horizontal="center"/>
    </xf>
    <xf numFmtId="43" fontId="9" fillId="0" borderId="17" xfId="0" applyNumberFormat="1" applyFont="1" applyBorder="1" applyAlignment="1">
      <alignment horizontal="center"/>
    </xf>
    <xf numFmtId="41" fontId="8" fillId="0" borderId="17" xfId="1" applyFont="1" applyFill="1" applyBorder="1"/>
    <xf numFmtId="164" fontId="8" fillId="0" borderId="8" xfId="1" applyNumberFormat="1" applyFont="1" applyFill="1" applyBorder="1" applyAlignment="1">
      <alignment horizontal="left"/>
    </xf>
    <xf numFmtId="43" fontId="8" fillId="0" borderId="34" xfId="0" applyNumberFormat="1" applyFont="1" applyFill="1" applyBorder="1" applyAlignment="1">
      <alignment horizontal="left"/>
    </xf>
    <xf numFmtId="164" fontId="6" fillId="0" borderId="29" xfId="1" applyNumberFormat="1" applyFont="1" applyBorder="1"/>
    <xf numFmtId="43" fontId="6" fillId="0" borderId="16" xfId="0" applyNumberFormat="1" applyFont="1" applyBorder="1" applyAlignment="1">
      <alignment horizontal="center"/>
    </xf>
    <xf numFmtId="164" fontId="9" fillId="0" borderId="0" xfId="1" applyNumberFormat="1" applyFont="1" applyBorder="1"/>
    <xf numFmtId="164" fontId="9" fillId="0" borderId="52" xfId="1" applyNumberFormat="1" applyFont="1" applyBorder="1" applyAlignment="1">
      <alignment horizontal="center"/>
    </xf>
    <xf numFmtId="164" fontId="6" fillId="0" borderId="52" xfId="1" applyNumberFormat="1" applyFont="1" applyBorder="1" applyAlignment="1">
      <alignment horizontal="center"/>
    </xf>
    <xf numFmtId="0" fontId="11" fillId="0" borderId="54" xfId="0" applyFont="1" applyBorder="1" applyAlignment="1">
      <alignment horizontal="center"/>
    </xf>
    <xf numFmtId="164" fontId="9" fillId="0" borderId="23" xfId="1" applyNumberFormat="1" applyFont="1" applyBorder="1"/>
    <xf numFmtId="164" fontId="6" fillId="0" borderId="23" xfId="1" applyNumberFormat="1" applyFont="1" applyBorder="1"/>
    <xf numFmtId="164" fontId="9" fillId="0" borderId="52" xfId="1" applyNumberFormat="1" applyFont="1" applyBorder="1"/>
    <xf numFmtId="164" fontId="8" fillId="0" borderId="9" xfId="1" applyNumberFormat="1" applyFont="1" applyBorder="1"/>
    <xf numFmtId="164" fontId="8" fillId="0" borderId="9" xfId="1" applyNumberFormat="1" applyFont="1" applyBorder="1" applyAlignment="1">
      <alignment horizontal="left"/>
    </xf>
    <xf numFmtId="164" fontId="8" fillId="0" borderId="4" xfId="1" applyNumberFormat="1" applyFont="1" applyBorder="1"/>
    <xf numFmtId="164" fontId="8" fillId="0" borderId="32" xfId="1" applyNumberFormat="1" applyFont="1" applyBorder="1"/>
    <xf numFmtId="0" fontId="11" fillId="0" borderId="59" xfId="0" applyFont="1" applyBorder="1" applyAlignment="1">
      <alignment horizontal="center"/>
    </xf>
    <xf numFmtId="164" fontId="8" fillId="0" borderId="4" xfId="1" applyNumberFormat="1" applyFont="1" applyBorder="1" applyAlignment="1">
      <alignment horizontal="left"/>
    </xf>
    <xf numFmtId="164" fontId="8" fillId="0" borderId="6" xfId="1" applyNumberFormat="1" applyFont="1" applyBorder="1"/>
    <xf numFmtId="164" fontId="8" fillId="0" borderId="21" xfId="1" applyNumberFormat="1" applyFont="1" applyBorder="1"/>
    <xf numFmtId="164" fontId="8" fillId="0" borderId="4" xfId="1" applyNumberFormat="1" applyFont="1" applyFill="1" applyBorder="1" applyAlignment="1">
      <alignment horizontal="left"/>
    </xf>
    <xf numFmtId="164" fontId="8" fillId="0" borderId="6" xfId="1" applyNumberFormat="1" applyFont="1" applyFill="1" applyBorder="1" applyAlignment="1">
      <alignment horizontal="left"/>
    </xf>
    <xf numFmtId="164" fontId="8" fillId="0" borderId="60" xfId="1" applyNumberFormat="1" applyFont="1" applyFill="1" applyBorder="1"/>
    <xf numFmtId="164" fontId="8" fillId="0" borderId="55" xfId="1" applyNumberFormat="1" applyFont="1" applyBorder="1" applyAlignment="1">
      <alignment horizontal="left"/>
    </xf>
    <xf numFmtId="164" fontId="8" fillId="0" borderId="57" xfId="1" applyNumberFormat="1" applyFont="1" applyBorder="1"/>
    <xf numFmtId="164" fontId="8" fillId="0" borderId="61" xfId="1" applyNumberFormat="1" applyFont="1" applyBorder="1"/>
    <xf numFmtId="164" fontId="8" fillId="0" borderId="57" xfId="1" applyNumberFormat="1" applyFont="1" applyFill="1" applyBorder="1" applyAlignment="1">
      <alignment horizontal="left"/>
    </xf>
    <xf numFmtId="164" fontId="8" fillId="0" borderId="62" xfId="1" applyNumberFormat="1" applyFont="1" applyFill="1" applyBorder="1"/>
    <xf numFmtId="0" fontId="6" fillId="0" borderId="53" xfId="0" applyFont="1" applyBorder="1" applyAlignment="1">
      <alignment horizontal="center"/>
    </xf>
    <xf numFmtId="164" fontId="6" fillId="0" borderId="52" xfId="1" applyNumberFormat="1" applyFont="1" applyBorder="1"/>
    <xf numFmtId="164" fontId="6" fillId="0" borderId="5" xfId="1" applyNumberFormat="1" applyFont="1" applyBorder="1" applyAlignment="1">
      <alignment horizontal="center"/>
    </xf>
    <xf numFmtId="164" fontId="6" fillId="0" borderId="5" xfId="1" applyNumberFormat="1" applyFont="1" applyBorder="1"/>
    <xf numFmtId="164" fontId="8" fillId="0" borderId="29" xfId="1" applyNumberFormat="1" applyFont="1" applyBorder="1"/>
    <xf numFmtId="164" fontId="8" fillId="0" borderId="47" xfId="1" applyNumberFormat="1" applyFont="1" applyBorder="1" applyAlignment="1">
      <alignment horizontal="left"/>
    </xf>
    <xf numFmtId="164" fontId="8" fillId="0" borderId="63" xfId="1" applyNumberFormat="1" applyFont="1" applyBorder="1"/>
    <xf numFmtId="164" fontId="8" fillId="0" borderId="56" xfId="1" applyNumberFormat="1" applyFont="1" applyBorder="1"/>
    <xf numFmtId="164" fontId="8" fillId="0" borderId="56" xfId="1" applyNumberFormat="1" applyFont="1" applyBorder="1" applyAlignment="1">
      <alignment horizontal="left"/>
    </xf>
    <xf numFmtId="164" fontId="8" fillId="0" borderId="55" xfId="1" applyNumberFormat="1" applyFont="1" applyBorder="1"/>
    <xf numFmtId="164" fontId="8" fillId="0" borderId="57" xfId="1" applyNumberFormat="1" applyFont="1" applyBorder="1" applyAlignment="1">
      <alignment horizontal="left"/>
    </xf>
    <xf numFmtId="164" fontId="8" fillId="0" borderId="58" xfId="1" applyNumberFormat="1" applyFont="1" applyBorder="1"/>
    <xf numFmtId="0" fontId="14" fillId="0" borderId="0" xfId="0" applyFont="1"/>
    <xf numFmtId="0" fontId="5" fillId="0" borderId="0" xfId="0" applyFont="1" applyBorder="1"/>
    <xf numFmtId="0" fontId="8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41" fontId="11" fillId="0" borderId="3" xfId="1" applyNumberFormat="1" applyFont="1" applyBorder="1" applyAlignment="1">
      <alignment horizontal="left"/>
    </xf>
    <xf numFmtId="0" fontId="4" fillId="0" borderId="0" xfId="0" applyFont="1"/>
    <xf numFmtId="0" fontId="4" fillId="0" borderId="0" xfId="0" applyFont="1" applyBorder="1"/>
    <xf numFmtId="164" fontId="4" fillId="0" borderId="0" xfId="1" applyNumberFormat="1" applyFont="1" applyBorder="1"/>
    <xf numFmtId="0" fontId="15" fillId="0" borderId="0" xfId="0" applyFont="1"/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41" fontId="11" fillId="0" borderId="3" xfId="1" applyNumberFormat="1" applyFont="1" applyBorder="1"/>
    <xf numFmtId="0" fontId="10" fillId="2" borderId="3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166" fontId="8" fillId="0" borderId="1" xfId="0" applyNumberFormat="1" applyFont="1" applyBorder="1"/>
    <xf numFmtId="166" fontId="9" fillId="0" borderId="8" xfId="0" applyNumberFormat="1" applyFont="1" applyBorder="1"/>
    <xf numFmtId="166" fontId="9" fillId="0" borderId="1" xfId="0" applyNumberFormat="1" applyFont="1" applyBorder="1"/>
    <xf numFmtId="166" fontId="8" fillId="0" borderId="0" xfId="0" applyNumberFormat="1" applyFont="1"/>
    <xf numFmtId="166" fontId="10" fillId="0" borderId="10" xfId="0" applyNumberFormat="1" applyFont="1" applyBorder="1"/>
    <xf numFmtId="41" fontId="8" fillId="0" borderId="1" xfId="0" applyNumberFormat="1" applyFont="1" applyBorder="1"/>
    <xf numFmtId="41" fontId="9" fillId="0" borderId="1" xfId="0" applyNumberFormat="1" applyFont="1" applyBorder="1"/>
    <xf numFmtId="41" fontId="8" fillId="0" borderId="3" xfId="0" applyNumberFormat="1" applyFont="1" applyBorder="1"/>
    <xf numFmtId="166" fontId="8" fillId="0" borderId="3" xfId="0" applyNumberFormat="1" applyFont="1" applyBorder="1"/>
    <xf numFmtId="41" fontId="10" fillId="0" borderId="10" xfId="0" applyNumberFormat="1" applyFont="1" applyBorder="1"/>
    <xf numFmtId="0" fontId="4" fillId="0" borderId="5" xfId="0" applyFont="1" applyBorder="1" applyAlignment="1">
      <alignment horizontal="left"/>
    </xf>
    <xf numFmtId="0" fontId="4" fillId="0" borderId="5" xfId="0" applyFont="1" applyBorder="1"/>
    <xf numFmtId="0" fontId="11" fillId="3" borderId="0" xfId="0" quotePrefix="1" applyFont="1" applyFill="1"/>
    <xf numFmtId="0" fontId="11" fillId="4" borderId="0" xfId="0" quotePrefix="1" applyFont="1" applyFill="1"/>
    <xf numFmtId="164" fontId="10" fillId="0" borderId="0" xfId="1" applyNumberFormat="1" applyFont="1"/>
    <xf numFmtId="166" fontId="11" fillId="0" borderId="3" xfId="0" applyNumberFormat="1" applyFont="1" applyBorder="1" applyAlignment="1">
      <alignment horizontal="left"/>
    </xf>
    <xf numFmtId="0" fontId="10" fillId="0" borderId="0" xfId="0" applyFont="1" applyAlignment="1">
      <alignment horizontal="center"/>
    </xf>
    <xf numFmtId="166" fontId="11" fillId="0" borderId="3" xfId="0" applyNumberFormat="1" applyFont="1" applyBorder="1"/>
    <xf numFmtId="166" fontId="4" fillId="0" borderId="3" xfId="0" applyNumberFormat="1" applyFont="1" applyBorder="1" applyAlignment="1">
      <alignment horizontal="left"/>
    </xf>
    <xf numFmtId="166" fontId="4" fillId="0" borderId="8" xfId="0" applyNumberFormat="1" applyFont="1" applyBorder="1"/>
    <xf numFmtId="166" fontId="4" fillId="0" borderId="2" xfId="0" applyNumberFormat="1" applyFont="1" applyBorder="1"/>
    <xf numFmtId="166" fontId="4" fillId="0" borderId="8" xfId="0" applyNumberFormat="1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5" xfId="0" applyFont="1" applyBorder="1"/>
    <xf numFmtId="0" fontId="4" fillId="0" borderId="3" xfId="0" applyFont="1" applyBorder="1"/>
    <xf numFmtId="164" fontId="4" fillId="0" borderId="9" xfId="1" applyNumberFormat="1" applyFont="1" applyBorder="1"/>
    <xf numFmtId="9" fontId="4" fillId="0" borderId="0" xfId="2" applyFont="1" applyAlignment="1">
      <alignment horizontal="center"/>
    </xf>
    <xf numFmtId="0" fontId="4" fillId="0" borderId="5" xfId="0" applyFont="1" applyFill="1" applyBorder="1"/>
    <xf numFmtId="0" fontId="4" fillId="0" borderId="7" xfId="0" applyFont="1" applyFill="1" applyBorder="1"/>
    <xf numFmtId="0" fontId="4" fillId="0" borderId="7" xfId="0" applyFont="1" applyBorder="1"/>
    <xf numFmtId="164" fontId="4" fillId="0" borderId="8" xfId="1" applyNumberFormat="1" applyFont="1" applyBorder="1" applyAlignment="1">
      <alignment horizontal="right"/>
    </xf>
    <xf numFmtId="164" fontId="4" fillId="0" borderId="2" xfId="1" applyNumberFormat="1" applyFont="1" applyBorder="1"/>
    <xf numFmtId="164" fontId="4" fillId="0" borderId="3" xfId="1" applyNumberFormat="1" applyFont="1" applyBorder="1"/>
    <xf numFmtId="164" fontId="4" fillId="0" borderId="2" xfId="1" applyNumberFormat="1" applyFont="1" applyBorder="1" applyAlignment="1">
      <alignment horizontal="right"/>
    </xf>
    <xf numFmtId="43" fontId="8" fillId="4" borderId="0" xfId="0" applyNumberFormat="1" applyFont="1" applyFill="1"/>
    <xf numFmtId="41" fontId="8" fillId="0" borderId="3" xfId="1" applyNumberFormat="1" applyFont="1" applyBorder="1" applyAlignment="1">
      <alignment horizontal="left"/>
    </xf>
    <xf numFmtId="41" fontId="8" fillId="0" borderId="38" xfId="0" applyNumberFormat="1" applyFont="1" applyBorder="1" applyAlignment="1">
      <alignment horizontal="left"/>
    </xf>
    <xf numFmtId="41" fontId="8" fillId="0" borderId="8" xfId="1" applyNumberFormat="1" applyFont="1" applyBorder="1"/>
    <xf numFmtId="41" fontId="8" fillId="0" borderId="34" xfId="0" applyNumberFormat="1" applyFont="1" applyBorder="1"/>
    <xf numFmtId="41" fontId="8" fillId="0" borderId="2" xfId="1" applyNumberFormat="1" applyFont="1" applyBorder="1"/>
    <xf numFmtId="41" fontId="8" fillId="0" borderId="39" xfId="0" applyNumberFormat="1" applyFont="1" applyBorder="1"/>
    <xf numFmtId="41" fontId="8" fillId="0" borderId="4" xfId="1" applyNumberFormat="1" applyFont="1" applyBorder="1" applyAlignment="1">
      <alignment horizontal="left"/>
    </xf>
    <xf numFmtId="41" fontId="8" fillId="0" borderId="55" xfId="1" applyNumberFormat="1" applyFont="1" applyBorder="1" applyAlignment="1">
      <alignment horizontal="left"/>
    </xf>
    <xf numFmtId="41" fontId="8" fillId="0" borderId="6" xfId="1" applyNumberFormat="1" applyFont="1" applyBorder="1"/>
    <xf numFmtId="41" fontId="8" fillId="0" borderId="57" xfId="1" applyNumberFormat="1" applyFont="1" applyBorder="1"/>
    <xf numFmtId="41" fontId="8" fillId="0" borderId="21" xfId="1" applyNumberFormat="1" applyFont="1" applyBorder="1"/>
    <xf numFmtId="41" fontId="8" fillId="0" borderId="61" xfId="1" applyNumberFormat="1" applyFont="1" applyBorder="1"/>
    <xf numFmtId="41" fontId="8" fillId="0" borderId="4" xfId="1" applyNumberFormat="1" applyFont="1" applyFill="1" applyBorder="1" applyAlignment="1">
      <alignment horizontal="left"/>
    </xf>
    <xf numFmtId="41" fontId="8" fillId="0" borderId="38" xfId="0" applyNumberFormat="1" applyFont="1" applyFill="1" applyBorder="1" applyAlignment="1">
      <alignment horizontal="left"/>
    </xf>
    <xf numFmtId="41" fontId="8" fillId="0" borderId="6" xfId="1" applyNumberFormat="1" applyFont="1" applyFill="1" applyBorder="1" applyAlignment="1">
      <alignment horizontal="left"/>
    </xf>
    <xf numFmtId="41" fontId="8" fillId="0" borderId="57" xfId="1" applyNumberFormat="1" applyFont="1" applyFill="1" applyBorder="1" applyAlignment="1">
      <alignment horizontal="left"/>
    </xf>
    <xf numFmtId="41" fontId="8" fillId="0" borderId="34" xfId="0" applyNumberFormat="1" applyFont="1" applyFill="1" applyBorder="1" applyAlignment="1">
      <alignment horizontal="left"/>
    </xf>
    <xf numFmtId="41" fontId="8" fillId="0" borderId="3" xfId="1" applyNumberFormat="1" applyFont="1" applyFill="1" applyBorder="1" applyAlignment="1">
      <alignment horizontal="left"/>
    </xf>
    <xf numFmtId="166" fontId="8" fillId="4" borderId="0" xfId="0" applyNumberFormat="1" applyFont="1" applyFill="1"/>
    <xf numFmtId="41" fontId="8" fillId="0" borderId="1" xfId="1" applyNumberFormat="1" applyFont="1" applyBorder="1"/>
    <xf numFmtId="41" fontId="8" fillId="0" borderId="15" xfId="1" applyNumberFormat="1" applyFont="1" applyBorder="1"/>
    <xf numFmtId="41" fontId="8" fillId="0" borderId="9" xfId="1" applyNumberFormat="1" applyFont="1" applyBorder="1"/>
    <xf numFmtId="41" fontId="8" fillId="0" borderId="56" xfId="1" applyNumberFormat="1" applyFont="1" applyBorder="1"/>
    <xf numFmtId="41" fontId="8" fillId="0" borderId="29" xfId="1" applyNumberFormat="1" applyFont="1" applyBorder="1"/>
    <xf numFmtId="41" fontId="8" fillId="0" borderId="16" xfId="0" applyNumberFormat="1" applyFont="1" applyBorder="1"/>
    <xf numFmtId="41" fontId="8" fillId="0" borderId="16" xfId="1" applyNumberFormat="1" applyFont="1" applyBorder="1"/>
    <xf numFmtId="41" fontId="8" fillId="0" borderId="47" xfId="1" applyNumberFormat="1" applyFont="1" applyBorder="1"/>
    <xf numFmtId="41" fontId="8" fillId="0" borderId="44" xfId="1" applyNumberFormat="1" applyFont="1" applyBorder="1"/>
    <xf numFmtId="41" fontId="8" fillId="0" borderId="9" xfId="1" applyNumberFormat="1" applyFont="1" applyBorder="1" applyAlignment="1">
      <alignment horizontal="left"/>
    </xf>
    <xf numFmtId="41" fontId="8" fillId="0" borderId="56" xfId="1" applyNumberFormat="1" applyFont="1" applyBorder="1" applyAlignment="1">
      <alignment horizontal="left"/>
    </xf>
    <xf numFmtId="41" fontId="8" fillId="0" borderId="47" xfId="1" applyNumberFormat="1" applyFont="1" applyBorder="1" applyAlignment="1">
      <alignment horizontal="left"/>
    </xf>
    <xf numFmtId="41" fontId="8" fillId="0" borderId="4" xfId="1" applyNumberFormat="1" applyFont="1" applyBorder="1"/>
    <xf numFmtId="41" fontId="8" fillId="0" borderId="55" xfId="1" applyNumberFormat="1" applyFont="1" applyBorder="1"/>
    <xf numFmtId="41" fontId="8" fillId="0" borderId="38" xfId="1" applyNumberFormat="1" applyFont="1" applyBorder="1"/>
    <xf numFmtId="41" fontId="8" fillId="0" borderId="3" xfId="1" applyNumberFormat="1" applyFont="1" applyBorder="1"/>
    <xf numFmtId="41" fontId="8" fillId="0" borderId="5" xfId="1" applyNumberFormat="1" applyFont="1" applyBorder="1"/>
    <xf numFmtId="41" fontId="8" fillId="0" borderId="38" xfId="0" applyNumberFormat="1" applyFont="1" applyBorder="1"/>
    <xf numFmtId="41" fontId="8" fillId="0" borderId="1" xfId="1" applyNumberFormat="1" applyFont="1" applyBorder="1" applyAlignment="1">
      <alignment horizontal="left"/>
    </xf>
    <xf numFmtId="41" fontId="8" fillId="0" borderId="16" xfId="0" applyNumberFormat="1" applyFont="1" applyBorder="1" applyAlignment="1">
      <alignment horizontal="left"/>
    </xf>
    <xf numFmtId="41" fontId="8" fillId="0" borderId="48" xfId="1" applyNumberFormat="1" applyFont="1" applyBorder="1"/>
    <xf numFmtId="41" fontId="8" fillId="0" borderId="46" xfId="1" applyNumberFormat="1" applyFont="1" applyBorder="1"/>
    <xf numFmtId="41" fontId="8" fillId="0" borderId="20" xfId="1" applyNumberFormat="1" applyFont="1" applyBorder="1"/>
    <xf numFmtId="41" fontId="8" fillId="0" borderId="19" xfId="1" applyNumberFormat="1" applyFont="1" applyBorder="1"/>
    <xf numFmtId="41" fontId="8" fillId="0" borderId="32" xfId="1" applyNumberFormat="1" applyFont="1" applyBorder="1"/>
    <xf numFmtId="41" fontId="8" fillId="0" borderId="58" xfId="1" applyNumberFormat="1" applyFont="1" applyBorder="1"/>
    <xf numFmtId="41" fontId="8" fillId="0" borderId="63" xfId="1" applyNumberFormat="1" applyFont="1" applyBorder="1"/>
    <xf numFmtId="41" fontId="8" fillId="0" borderId="19" xfId="0" applyNumberFormat="1" applyFont="1" applyBorder="1"/>
    <xf numFmtId="41" fontId="8" fillId="0" borderId="20" xfId="0" applyNumberFormat="1" applyFont="1" applyBorder="1"/>
    <xf numFmtId="41" fontId="8" fillId="0" borderId="0" xfId="0" applyNumberFormat="1" applyFont="1"/>
    <xf numFmtId="41" fontId="8" fillId="4" borderId="0" xfId="0" applyNumberFormat="1" applyFont="1" applyFill="1"/>
    <xf numFmtId="41" fontId="9" fillId="0" borderId="4" xfId="1" applyNumberFormat="1" applyFont="1" applyBorder="1"/>
    <xf numFmtId="41" fontId="9" fillId="0" borderId="13" xfId="1" applyNumberFormat="1" applyFont="1" applyBorder="1"/>
    <xf numFmtId="41" fontId="9" fillId="0" borderId="14" xfId="0" applyNumberFormat="1" applyFont="1" applyBorder="1" applyAlignment="1">
      <alignment horizontal="center"/>
    </xf>
    <xf numFmtId="41" fontId="9" fillId="0" borderId="23" xfId="0" applyNumberFormat="1" applyFont="1" applyBorder="1" applyAlignment="1">
      <alignment horizontal="center"/>
    </xf>
    <xf numFmtId="41" fontId="9" fillId="0" borderId="4" xfId="0" applyNumberFormat="1" applyFont="1" applyBorder="1" applyAlignment="1">
      <alignment horizontal="center"/>
    </xf>
    <xf numFmtId="41" fontId="9" fillId="0" borderId="13" xfId="0" applyNumberFormat="1" applyFont="1" applyBorder="1" applyAlignment="1">
      <alignment horizontal="center"/>
    </xf>
    <xf numFmtId="41" fontId="9" fillId="0" borderId="15" xfId="1" applyNumberFormat="1" applyFont="1" applyBorder="1" applyAlignment="1">
      <alignment horizontal="left"/>
    </xf>
    <xf numFmtId="41" fontId="9" fillId="0" borderId="16" xfId="1" applyNumberFormat="1" applyFont="1" applyBorder="1" applyAlignment="1">
      <alignment horizontal="center"/>
    </xf>
    <xf numFmtId="41" fontId="9" fillId="0" borderId="29" xfId="1" applyNumberFormat="1" applyFont="1" applyBorder="1" applyAlignment="1">
      <alignment horizontal="center"/>
    </xf>
    <xf numFmtId="41" fontId="9" fillId="0" borderId="9" xfId="1" applyNumberFormat="1" applyFont="1" applyBorder="1" applyAlignment="1">
      <alignment horizontal="center"/>
    </xf>
    <xf numFmtId="41" fontId="9" fillId="0" borderId="15" xfId="1" applyNumberFormat="1" applyFont="1" applyBorder="1" applyAlignment="1">
      <alignment horizontal="center"/>
    </xf>
    <xf numFmtId="41" fontId="6" fillId="0" borderId="52" xfId="1" applyNumberFormat="1" applyFont="1" applyBorder="1" applyAlignment="1">
      <alignment horizontal="center"/>
    </xf>
    <xf numFmtId="41" fontId="9" fillId="0" borderId="15" xfId="1" applyNumberFormat="1" applyFont="1" applyBorder="1"/>
    <xf numFmtId="41" fontId="6" fillId="0" borderId="15" xfId="1" applyNumberFormat="1" applyFont="1" applyBorder="1" applyAlignment="1">
      <alignment horizontal="center"/>
    </xf>
    <xf numFmtId="41" fontId="6" fillId="0" borderId="16" xfId="1" applyNumberFormat="1" applyFont="1" applyBorder="1" applyAlignment="1">
      <alignment horizontal="center"/>
    </xf>
    <xf numFmtId="41" fontId="6" fillId="0" borderId="29" xfId="1" applyNumberFormat="1" applyFont="1" applyBorder="1" applyAlignment="1">
      <alignment horizontal="center"/>
    </xf>
    <xf numFmtId="41" fontId="6" fillId="0" borderId="9" xfId="1" applyNumberFormat="1" applyFont="1" applyBorder="1" applyAlignment="1">
      <alignment horizontal="center"/>
    </xf>
    <xf numFmtId="41" fontId="9" fillId="0" borderId="14" xfId="1" applyNumberFormat="1" applyFont="1" applyBorder="1"/>
    <xf numFmtId="41" fontId="9" fillId="0" borderId="23" xfId="1" applyNumberFormat="1" applyFont="1" applyBorder="1" applyAlignment="1">
      <alignment horizontal="center"/>
    </xf>
    <xf numFmtId="41" fontId="9" fillId="0" borderId="4" xfId="1" applyNumberFormat="1" applyFont="1" applyBorder="1" applyAlignment="1">
      <alignment horizontal="center"/>
    </xf>
    <xf numFmtId="41" fontId="9" fillId="0" borderId="13" xfId="1" applyNumberFormat="1" applyFont="1" applyBorder="1" applyAlignment="1">
      <alignment horizontal="center"/>
    </xf>
    <xf numFmtId="41" fontId="6" fillId="0" borderId="5" xfId="1" applyNumberFormat="1" applyFont="1" applyBorder="1" applyAlignment="1">
      <alignment horizontal="center"/>
    </xf>
    <xf numFmtId="41" fontId="9" fillId="0" borderId="14" xfId="1" applyNumberFormat="1" applyFont="1" applyBorder="1" applyAlignment="1">
      <alignment horizontal="center"/>
    </xf>
    <xf numFmtId="41" fontId="9" fillId="0" borderId="6" xfId="1" applyNumberFormat="1" applyFont="1" applyBorder="1"/>
    <xf numFmtId="41" fontId="9" fillId="0" borderId="17" xfId="1" applyNumberFormat="1" applyFont="1" applyBorder="1"/>
    <xf numFmtId="41" fontId="9" fillId="0" borderId="18" xfId="1" applyNumberFormat="1" applyFont="1" applyBorder="1"/>
    <xf numFmtId="41" fontId="9" fillId="0" borderId="24" xfId="1" applyNumberFormat="1" applyFont="1" applyBorder="1"/>
    <xf numFmtId="41" fontId="9" fillId="0" borderId="0" xfId="1" applyNumberFormat="1" applyFont="1" applyBorder="1"/>
    <xf numFmtId="41" fontId="9" fillId="0" borderId="9" xfId="1" applyNumberFormat="1" applyFont="1" applyBorder="1"/>
    <xf numFmtId="41" fontId="9" fillId="0" borderId="29" xfId="1" applyNumberFormat="1" applyFont="1" applyBorder="1"/>
    <xf numFmtId="41" fontId="9" fillId="0" borderId="16" xfId="0" applyNumberFormat="1" applyFont="1" applyBorder="1" applyAlignment="1">
      <alignment horizontal="center"/>
    </xf>
    <xf numFmtId="41" fontId="9" fillId="0" borderId="9" xfId="0" applyNumberFormat="1" applyFont="1" applyBorder="1" applyAlignment="1">
      <alignment horizontal="center"/>
    </xf>
    <xf numFmtId="41" fontId="6" fillId="0" borderId="52" xfId="1" applyNumberFormat="1" applyFont="1" applyBorder="1"/>
    <xf numFmtId="41" fontId="9" fillId="0" borderId="52" xfId="1" applyNumberFormat="1" applyFont="1" applyBorder="1"/>
    <xf numFmtId="41" fontId="6" fillId="0" borderId="29" xfId="1" applyNumberFormat="1" applyFont="1" applyBorder="1"/>
    <xf numFmtId="41" fontId="6" fillId="0" borderId="16" xfId="0" applyNumberFormat="1" applyFont="1" applyBorder="1" applyAlignment="1">
      <alignment horizontal="center"/>
    </xf>
    <xf numFmtId="41" fontId="9" fillId="0" borderId="19" xfId="0" applyNumberFormat="1" applyFont="1" applyBorder="1" applyAlignment="1">
      <alignment horizontal="center"/>
    </xf>
    <xf numFmtId="41" fontId="9" fillId="0" borderId="20" xfId="0" applyNumberFormat="1" applyFont="1" applyBorder="1" applyAlignment="1">
      <alignment horizontal="center"/>
    </xf>
    <xf numFmtId="41" fontId="9" fillId="0" borderId="30" xfId="0" applyNumberFormat="1" applyFont="1" applyBorder="1" applyAlignment="1">
      <alignment horizontal="center"/>
    </xf>
    <xf numFmtId="41" fontId="9" fillId="0" borderId="32" xfId="0" applyNumberFormat="1" applyFont="1" applyBorder="1" applyAlignment="1">
      <alignment horizontal="center"/>
    </xf>
    <xf numFmtId="41" fontId="6" fillId="0" borderId="53" xfId="0" applyNumberFormat="1" applyFont="1" applyBorder="1" applyAlignment="1">
      <alignment horizontal="center"/>
    </xf>
    <xf numFmtId="41" fontId="9" fillId="0" borderId="9" xfId="1" applyNumberFormat="1" applyFont="1" applyBorder="1" applyAlignment="1">
      <alignment horizontal="left"/>
    </xf>
    <xf numFmtId="41" fontId="9" fillId="0" borderId="52" xfId="1" applyNumberFormat="1" applyFont="1" applyBorder="1" applyAlignment="1">
      <alignment horizontal="center"/>
    </xf>
    <xf numFmtId="41" fontId="9" fillId="0" borderId="9" xfId="1" applyNumberFormat="1" applyFont="1" applyBorder="1" applyAlignment="1">
      <alignment horizontal="right"/>
    </xf>
    <xf numFmtId="41" fontId="9" fillId="0" borderId="23" xfId="1" applyNumberFormat="1" applyFont="1" applyBorder="1"/>
    <xf numFmtId="41" fontId="6" fillId="0" borderId="5" xfId="1" applyNumberFormat="1" applyFont="1" applyBorder="1"/>
    <xf numFmtId="41" fontId="6" fillId="0" borderId="23" xfId="1" applyNumberFormat="1" applyFont="1" applyBorder="1"/>
    <xf numFmtId="41" fontId="6" fillId="0" borderId="14" xfId="0" applyNumberFormat="1" applyFont="1" applyBorder="1" applyAlignment="1">
      <alignment horizontal="center"/>
    </xf>
    <xf numFmtId="41" fontId="8" fillId="0" borderId="17" xfId="1" applyNumberFormat="1" applyFont="1" applyBorder="1"/>
    <xf numFmtId="41" fontId="8" fillId="0" borderId="25" xfId="1" applyNumberFormat="1" applyFont="1" applyBorder="1"/>
    <xf numFmtId="41" fontId="8" fillId="0" borderId="13" xfId="1" applyNumberFormat="1" applyFont="1" applyBorder="1"/>
    <xf numFmtId="41" fontId="8" fillId="0" borderId="34" xfId="1" applyNumberFormat="1" applyFont="1" applyBorder="1"/>
    <xf numFmtId="41" fontId="8" fillId="0" borderId="33" xfId="1" applyNumberFormat="1" applyFont="1" applyBorder="1"/>
    <xf numFmtId="41" fontId="8" fillId="0" borderId="0" xfId="1" applyNumberFormat="1" applyFont="1" applyBorder="1"/>
    <xf numFmtId="41" fontId="8" fillId="0" borderId="8" xfId="1" applyNumberFormat="1" applyFont="1" applyBorder="1" applyAlignment="1">
      <alignment horizontal="left"/>
    </xf>
    <xf numFmtId="41" fontId="8" fillId="0" borderId="34" xfId="1" applyNumberFormat="1" applyFont="1" applyBorder="1" applyAlignment="1">
      <alignment horizontal="left"/>
    </xf>
    <xf numFmtId="41" fontId="8" fillId="0" borderId="0" xfId="1" applyNumberFormat="1" applyFont="1" applyBorder="1" applyAlignment="1">
      <alignment horizontal="left"/>
    </xf>
    <xf numFmtId="41" fontId="8" fillId="0" borderId="57" xfId="1" applyNumberFormat="1" applyFont="1" applyBorder="1" applyAlignment="1">
      <alignment horizontal="left"/>
    </xf>
    <xf numFmtId="41" fontId="8" fillId="0" borderId="34" xfId="0" applyNumberFormat="1" applyFont="1" applyBorder="1" applyAlignment="1">
      <alignment horizontal="left"/>
    </xf>
    <xf numFmtId="41" fontId="8" fillId="0" borderId="39" xfId="1" applyNumberFormat="1" applyFont="1" applyBorder="1"/>
    <xf numFmtId="41" fontId="8" fillId="0" borderId="45" xfId="1" applyNumberFormat="1" applyFont="1" applyBorder="1"/>
    <xf numFmtId="41" fontId="8" fillId="0" borderId="7" xfId="1" applyNumberFormat="1" applyFont="1" applyBorder="1"/>
    <xf numFmtId="166" fontId="4" fillId="0" borderId="0" xfId="0" applyNumberFormat="1" applyFont="1" applyBorder="1" applyAlignment="1">
      <alignment horizontal="left"/>
    </xf>
    <xf numFmtId="166" fontId="4" fillId="0" borderId="0" xfId="0" applyNumberFormat="1" applyFont="1" applyBorder="1"/>
    <xf numFmtId="43" fontId="8" fillId="0" borderId="0" xfId="0" applyNumberFormat="1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41" fontId="8" fillId="0" borderId="0" xfId="0" applyNumberFormat="1" applyFont="1" applyBorder="1"/>
    <xf numFmtId="41" fontId="9" fillId="0" borderId="0" xfId="0" applyNumberFormat="1" applyFont="1" applyBorder="1"/>
    <xf numFmtId="41" fontId="10" fillId="0" borderId="0" xfId="0" applyNumberFormat="1" applyFont="1" applyBorder="1"/>
    <xf numFmtId="0" fontId="3" fillId="0" borderId="0" xfId="0" applyFont="1" applyBorder="1"/>
    <xf numFmtId="0" fontId="2" fillId="0" borderId="0" xfId="0" quotePrefix="1" applyFont="1"/>
    <xf numFmtId="0" fontId="2" fillId="0" borderId="0" xfId="0" applyFont="1" applyAlignment="1">
      <alignment horizontal="left"/>
    </xf>
    <xf numFmtId="37" fontId="2" fillId="0" borderId="0" xfId="0" quotePrefix="1" applyNumberFormat="1" applyFont="1"/>
    <xf numFmtId="1" fontId="2" fillId="0" borderId="0" xfId="0" quotePrefix="1" applyNumberFormat="1" applyFont="1"/>
    <xf numFmtId="0" fontId="2" fillId="0" borderId="0" xfId="0" applyFont="1"/>
    <xf numFmtId="0" fontId="11" fillId="0" borderId="0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left"/>
    </xf>
    <xf numFmtId="41" fontId="9" fillId="6" borderId="1" xfId="1" applyNumberFormat="1" applyFont="1" applyFill="1" applyBorder="1" applyAlignment="1">
      <alignment horizontal="left"/>
    </xf>
    <xf numFmtId="41" fontId="9" fillId="6" borderId="1" xfId="1" applyNumberFormat="1" applyFont="1" applyFill="1" applyBorder="1" applyAlignment="1">
      <alignment horizontal="center"/>
    </xf>
    <xf numFmtId="0" fontId="9" fillId="6" borderId="1" xfId="0" applyFont="1" applyFill="1" applyBorder="1"/>
    <xf numFmtId="41" fontId="9" fillId="6" borderId="1" xfId="1" applyNumberFormat="1" applyFont="1" applyFill="1" applyBorder="1"/>
    <xf numFmtId="41" fontId="9" fillId="6" borderId="1" xfId="1" applyNumberFormat="1" applyFont="1" applyFill="1" applyBorder="1" applyAlignment="1">
      <alignment horizontal="right"/>
    </xf>
    <xf numFmtId="0" fontId="3" fillId="6" borderId="3" xfId="0" applyFont="1" applyFill="1" applyBorder="1"/>
    <xf numFmtId="41" fontId="9" fillId="6" borderId="3" xfId="1" applyNumberFormat="1" applyFont="1" applyFill="1" applyBorder="1"/>
    <xf numFmtId="0" fontId="9" fillId="6" borderId="8" xfId="0" applyFont="1" applyFill="1" applyBorder="1"/>
    <xf numFmtId="41" fontId="9" fillId="6" borderId="8" xfId="1" applyNumberFormat="1" applyFont="1" applyFill="1" applyBorder="1"/>
    <xf numFmtId="0" fontId="16" fillId="5" borderId="1" xfId="0" applyFont="1" applyFill="1" applyBorder="1" applyAlignment="1">
      <alignment horizontal="center"/>
    </xf>
    <xf numFmtId="0" fontId="1" fillId="0" borderId="0" xfId="0" quotePrefix="1" applyFont="1" applyAlignment="1">
      <alignment horizontal="left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MY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Jualan</c:v>
          </c:tx>
          <c:cat>
            <c:strRef>
              <c:f>('S 1000-M 500'!$P$74,'S 1000-M 500'!$S$74,'S 1000-M 500'!$W$74,'S 1000-M 500'!$Z$74)</c:f>
              <c:strCache>
                <c:ptCount val="4"/>
                <c:pt idx="0">
                  <c:v>Reseller</c:v>
                </c:pt>
                <c:pt idx="1">
                  <c:v>Regional</c:v>
                </c:pt>
                <c:pt idx="2">
                  <c:v>Mast. Dist</c:v>
                </c:pt>
                <c:pt idx="3">
                  <c:v>Principal</c:v>
                </c:pt>
              </c:strCache>
            </c:strRef>
          </c:cat>
          <c:val>
            <c:numRef>
              <c:f>('S 1000-M 500'!$P$99,'S 1000-M 500'!$S$99,'S 1000-M 500'!$W$99,'S 1000-M 500'!$Z$99)</c:f>
              <c:numCache>
                <c:formatCode>_(* #,##0.00_);_(* \(#,##0.00\);_(* "-"??_);_(@_)</c:formatCode>
                <c:ptCount val="4"/>
                <c:pt idx="0">
                  <c:v>5430100</c:v>
                </c:pt>
                <c:pt idx="1">
                  <c:v>3421900</c:v>
                </c:pt>
                <c:pt idx="2">
                  <c:v>1914700</c:v>
                </c:pt>
                <c:pt idx="3">
                  <c:v>966300.00000000035</c:v>
                </c:pt>
              </c:numCache>
            </c:numRef>
          </c:val>
          <c:smooth val="0"/>
        </c:ser>
        <c:ser>
          <c:idx val="1"/>
          <c:order val="1"/>
          <c:tx>
            <c:v>Profit</c:v>
          </c:tx>
          <c:cat>
            <c:strRef>
              <c:f>('S 1000-M 500'!$P$74,'S 1000-M 500'!$S$74,'S 1000-M 500'!$W$74,'S 1000-M 500'!$Z$74)</c:f>
              <c:strCache>
                <c:ptCount val="4"/>
                <c:pt idx="0">
                  <c:v>Reseller</c:v>
                </c:pt>
                <c:pt idx="1">
                  <c:v>Regional</c:v>
                </c:pt>
                <c:pt idx="2">
                  <c:v>Mast. Dist</c:v>
                </c:pt>
                <c:pt idx="3">
                  <c:v>Principal</c:v>
                </c:pt>
              </c:strCache>
            </c:strRef>
          </c:cat>
          <c:val>
            <c:numRef>
              <c:f>('S 1000-M 500'!$O$99,'S 1000-M 500'!$R$99,'S 1000-M 500'!$U$99,'S 1000-M 500'!$Y$99)</c:f>
              <c:numCache>
                <c:formatCode>_(* #,##0.00_);_(* \(#,##0.00\);_(* "-"??_);_(@_)</c:formatCode>
                <c:ptCount val="4"/>
                <c:pt idx="0">
                  <c:v>2053200</c:v>
                </c:pt>
                <c:pt idx="1">
                  <c:v>1624200</c:v>
                </c:pt>
                <c:pt idx="2">
                  <c:v>532700</c:v>
                </c:pt>
                <c:pt idx="3">
                  <c:v>415700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435648"/>
        <c:axId val="183437184"/>
      </c:lineChart>
      <c:catAx>
        <c:axId val="183435648"/>
        <c:scaling>
          <c:orientation val="minMax"/>
        </c:scaling>
        <c:delete val="0"/>
        <c:axPos val="b"/>
        <c:majorTickMark val="none"/>
        <c:minorTickMark val="none"/>
        <c:tickLblPos val="nextTo"/>
        <c:crossAx val="183437184"/>
        <c:crosses val="autoZero"/>
        <c:auto val="1"/>
        <c:lblAlgn val="ctr"/>
        <c:lblOffset val="100"/>
        <c:noMultiLvlLbl val="0"/>
      </c:catAx>
      <c:valAx>
        <c:axId val="183437184"/>
        <c:scaling>
          <c:orientation val="minMax"/>
        </c:scaling>
        <c:delete val="0"/>
        <c:axPos val="l"/>
        <c:majorGridlines/>
        <c:title>
          <c:layout/>
          <c:overlay val="0"/>
        </c:title>
        <c:numFmt formatCode="_(* #,##0.00_);_(* \(#,##0.00\);_(* &quot;-&quot;??_);_(@_)" sourceLinked="1"/>
        <c:majorTickMark val="none"/>
        <c:minorTickMark val="none"/>
        <c:tickLblPos val="nextTo"/>
        <c:crossAx val="18343564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MY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Jualan</c:v>
          </c:tx>
          <c:cat>
            <c:strRef>
              <c:f>('S1 1500-M 700'!$P$74,'S1 1500-M 700'!$S$74,'S1 1500-M 700'!$W$74,'S1 1500-M 700'!$Z$74)</c:f>
              <c:strCache>
                <c:ptCount val="4"/>
                <c:pt idx="0">
                  <c:v>Reseller</c:v>
                </c:pt>
                <c:pt idx="1">
                  <c:v>Regional</c:v>
                </c:pt>
                <c:pt idx="2">
                  <c:v>Mast. Dist</c:v>
                </c:pt>
                <c:pt idx="3">
                  <c:v>Principal</c:v>
                </c:pt>
              </c:strCache>
            </c:strRef>
          </c:cat>
          <c:val>
            <c:numRef>
              <c:f>('S1 1500-M 700'!$P$99,'S1 1500-M 700'!$S$99,'S1 1500-M 700'!$W$99,'S1 1500-M 700'!$Z$99)</c:f>
              <c:numCache>
                <c:formatCode>_(* #,##0_);_(* \(#,##0\);_(* "-"??_);_(@_)</c:formatCode>
                <c:ptCount val="4"/>
                <c:pt idx="0">
                  <c:v>7920930</c:v>
                </c:pt>
                <c:pt idx="1">
                  <c:v>4996195</c:v>
                </c:pt>
                <c:pt idx="2">
                  <c:v>2795710.0000000005</c:v>
                </c:pt>
                <c:pt idx="3">
                  <c:v>1410890.0000000005</c:v>
                </c:pt>
              </c:numCache>
            </c:numRef>
          </c:val>
          <c:smooth val="0"/>
        </c:ser>
        <c:ser>
          <c:idx val="1"/>
          <c:order val="1"/>
          <c:tx>
            <c:v>Profit</c:v>
          </c:tx>
          <c:cat>
            <c:strRef>
              <c:f>('S1 1500-M 700'!$P$74,'S1 1500-M 700'!$S$74,'S1 1500-M 700'!$W$74,'S1 1500-M 700'!$Z$74)</c:f>
              <c:strCache>
                <c:ptCount val="4"/>
                <c:pt idx="0">
                  <c:v>Reseller</c:v>
                </c:pt>
                <c:pt idx="1">
                  <c:v>Regional</c:v>
                </c:pt>
                <c:pt idx="2">
                  <c:v>Mast. Dist</c:v>
                </c:pt>
                <c:pt idx="3">
                  <c:v>Principal</c:v>
                </c:pt>
              </c:strCache>
            </c:strRef>
          </c:cat>
          <c:val>
            <c:numRef>
              <c:f>('S1 1500-M 700'!$O$99,'S1 1500-M 700'!$R$99,'S1 1500-M 700'!$U$99,'S1 1500-M 700'!$Y$99)</c:f>
              <c:numCache>
                <c:formatCode>_(* #,##0_);_(* \(#,##0\);_(* "-"??_);_(@_)</c:formatCode>
                <c:ptCount val="4"/>
                <c:pt idx="0">
                  <c:v>2990735</c:v>
                </c:pt>
                <c:pt idx="1">
                  <c:v>2371485</c:v>
                </c:pt>
                <c:pt idx="2">
                  <c:v>777910</c:v>
                </c:pt>
                <c:pt idx="3">
                  <c:v>606910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852416"/>
        <c:axId val="183870592"/>
      </c:lineChart>
      <c:catAx>
        <c:axId val="183852416"/>
        <c:scaling>
          <c:orientation val="minMax"/>
        </c:scaling>
        <c:delete val="0"/>
        <c:axPos val="b"/>
        <c:majorTickMark val="none"/>
        <c:minorTickMark val="none"/>
        <c:tickLblPos val="nextTo"/>
        <c:crossAx val="183870592"/>
        <c:crosses val="autoZero"/>
        <c:auto val="1"/>
        <c:lblAlgn val="ctr"/>
        <c:lblOffset val="100"/>
        <c:noMultiLvlLbl val="0"/>
      </c:catAx>
      <c:valAx>
        <c:axId val="183870592"/>
        <c:scaling>
          <c:orientation val="minMax"/>
        </c:scaling>
        <c:delete val="0"/>
        <c:axPos val="l"/>
        <c:majorGridlines/>
        <c:title>
          <c:overlay val="0"/>
        </c:title>
        <c:numFmt formatCode="_(* #,##0_);_(* \(#,##0\);_(* &quot;-&quot;??_);_(@_)" sourceLinked="1"/>
        <c:majorTickMark val="none"/>
        <c:minorTickMark val="none"/>
        <c:tickLblPos val="nextTo"/>
        <c:crossAx val="18385241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5</xdr:row>
      <xdr:rowOff>38100</xdr:rowOff>
    </xdr:from>
    <xdr:to>
      <xdr:col>1</xdr:col>
      <xdr:colOff>219075</xdr:colOff>
      <xdr:row>5</xdr:row>
      <xdr:rowOff>171450</xdr:rowOff>
    </xdr:to>
    <xdr:sp macro="" textlink="">
      <xdr:nvSpPr>
        <xdr:cNvPr id="18" name="Rectangle 17"/>
        <xdr:cNvSpPr/>
      </xdr:nvSpPr>
      <xdr:spPr>
        <a:xfrm>
          <a:off x="76200" y="3045995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1</xdr:col>
      <xdr:colOff>76200</xdr:colOff>
      <xdr:row>10</xdr:row>
      <xdr:rowOff>39687</xdr:rowOff>
    </xdr:from>
    <xdr:to>
      <xdr:col>1</xdr:col>
      <xdr:colOff>219075</xdr:colOff>
      <xdr:row>10</xdr:row>
      <xdr:rowOff>173037</xdr:rowOff>
    </xdr:to>
    <xdr:sp macro="" textlink="">
      <xdr:nvSpPr>
        <xdr:cNvPr id="19" name="Rectangle 18"/>
        <xdr:cNvSpPr/>
      </xdr:nvSpPr>
      <xdr:spPr>
        <a:xfrm>
          <a:off x="76200" y="4050213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1</xdr:col>
      <xdr:colOff>76200</xdr:colOff>
      <xdr:row>14</xdr:row>
      <xdr:rowOff>39687</xdr:rowOff>
    </xdr:from>
    <xdr:to>
      <xdr:col>1</xdr:col>
      <xdr:colOff>219075</xdr:colOff>
      <xdr:row>14</xdr:row>
      <xdr:rowOff>173037</xdr:rowOff>
    </xdr:to>
    <xdr:sp macro="" textlink="">
      <xdr:nvSpPr>
        <xdr:cNvPr id="20" name="Rectangle 19"/>
        <xdr:cNvSpPr/>
      </xdr:nvSpPr>
      <xdr:spPr>
        <a:xfrm>
          <a:off x="76200" y="1672544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1</xdr:col>
      <xdr:colOff>76200</xdr:colOff>
      <xdr:row>17</xdr:row>
      <xdr:rowOff>39687</xdr:rowOff>
    </xdr:from>
    <xdr:to>
      <xdr:col>1</xdr:col>
      <xdr:colOff>219075</xdr:colOff>
      <xdr:row>17</xdr:row>
      <xdr:rowOff>173037</xdr:rowOff>
    </xdr:to>
    <xdr:sp macro="" textlink="">
      <xdr:nvSpPr>
        <xdr:cNvPr id="25" name="Rectangle 24"/>
        <xdr:cNvSpPr/>
      </xdr:nvSpPr>
      <xdr:spPr>
        <a:xfrm>
          <a:off x="76200" y="4651792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1</xdr:col>
      <xdr:colOff>76200</xdr:colOff>
      <xdr:row>26</xdr:row>
      <xdr:rowOff>38100</xdr:rowOff>
    </xdr:from>
    <xdr:to>
      <xdr:col>1</xdr:col>
      <xdr:colOff>219075</xdr:colOff>
      <xdr:row>26</xdr:row>
      <xdr:rowOff>171450</xdr:rowOff>
    </xdr:to>
    <xdr:sp macro="" textlink="">
      <xdr:nvSpPr>
        <xdr:cNvPr id="27" name="Rectangle 26"/>
        <xdr:cNvSpPr/>
      </xdr:nvSpPr>
      <xdr:spPr>
        <a:xfrm>
          <a:off x="76200" y="639679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1</xdr:col>
      <xdr:colOff>76200</xdr:colOff>
      <xdr:row>27</xdr:row>
      <xdr:rowOff>39687</xdr:rowOff>
    </xdr:from>
    <xdr:to>
      <xdr:col>1</xdr:col>
      <xdr:colOff>219075</xdr:colOff>
      <xdr:row>27</xdr:row>
      <xdr:rowOff>173037</xdr:rowOff>
    </xdr:to>
    <xdr:sp macro="" textlink="">
      <xdr:nvSpPr>
        <xdr:cNvPr id="28" name="Rectangle 27"/>
        <xdr:cNvSpPr/>
      </xdr:nvSpPr>
      <xdr:spPr>
        <a:xfrm>
          <a:off x="76200" y="841792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1</xdr:col>
      <xdr:colOff>76200</xdr:colOff>
      <xdr:row>29</xdr:row>
      <xdr:rowOff>39687</xdr:rowOff>
    </xdr:from>
    <xdr:to>
      <xdr:col>1</xdr:col>
      <xdr:colOff>219075</xdr:colOff>
      <xdr:row>29</xdr:row>
      <xdr:rowOff>173037</xdr:rowOff>
    </xdr:to>
    <xdr:sp macro="" textlink="">
      <xdr:nvSpPr>
        <xdr:cNvPr id="29" name="Rectangle 28"/>
        <xdr:cNvSpPr/>
      </xdr:nvSpPr>
      <xdr:spPr>
        <a:xfrm>
          <a:off x="76200" y="7058108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1</xdr:col>
      <xdr:colOff>76200</xdr:colOff>
      <xdr:row>28</xdr:row>
      <xdr:rowOff>33564</xdr:rowOff>
    </xdr:from>
    <xdr:to>
      <xdr:col>1</xdr:col>
      <xdr:colOff>219075</xdr:colOff>
      <xdr:row>28</xdr:row>
      <xdr:rowOff>166914</xdr:rowOff>
    </xdr:to>
    <xdr:sp macro="" textlink="">
      <xdr:nvSpPr>
        <xdr:cNvPr id="30" name="Rectangle 29"/>
        <xdr:cNvSpPr/>
      </xdr:nvSpPr>
      <xdr:spPr>
        <a:xfrm>
          <a:off x="76200" y="1236722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1</xdr:col>
      <xdr:colOff>76200</xdr:colOff>
      <xdr:row>30</xdr:row>
      <xdr:rowOff>33564</xdr:rowOff>
    </xdr:from>
    <xdr:to>
      <xdr:col>1</xdr:col>
      <xdr:colOff>219075</xdr:colOff>
      <xdr:row>30</xdr:row>
      <xdr:rowOff>166914</xdr:rowOff>
    </xdr:to>
    <xdr:sp macro="" textlink="">
      <xdr:nvSpPr>
        <xdr:cNvPr id="32" name="Rectangle 31"/>
        <xdr:cNvSpPr/>
      </xdr:nvSpPr>
      <xdr:spPr>
        <a:xfrm>
          <a:off x="76200" y="7252511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1</xdr:col>
      <xdr:colOff>76200</xdr:colOff>
      <xdr:row>31</xdr:row>
      <xdr:rowOff>33564</xdr:rowOff>
    </xdr:from>
    <xdr:to>
      <xdr:col>1</xdr:col>
      <xdr:colOff>219075</xdr:colOff>
      <xdr:row>31</xdr:row>
      <xdr:rowOff>166914</xdr:rowOff>
    </xdr:to>
    <xdr:sp macro="" textlink="">
      <xdr:nvSpPr>
        <xdr:cNvPr id="33" name="Rectangle 32"/>
        <xdr:cNvSpPr/>
      </xdr:nvSpPr>
      <xdr:spPr>
        <a:xfrm>
          <a:off x="76200" y="7653564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1</xdr:col>
      <xdr:colOff>76200</xdr:colOff>
      <xdr:row>35</xdr:row>
      <xdr:rowOff>33564</xdr:rowOff>
    </xdr:from>
    <xdr:to>
      <xdr:col>1</xdr:col>
      <xdr:colOff>219075</xdr:colOff>
      <xdr:row>35</xdr:row>
      <xdr:rowOff>166914</xdr:rowOff>
    </xdr:to>
    <xdr:sp macro="" textlink="">
      <xdr:nvSpPr>
        <xdr:cNvPr id="41" name="Rectangle 40"/>
        <xdr:cNvSpPr/>
      </xdr:nvSpPr>
      <xdr:spPr>
        <a:xfrm>
          <a:off x="76200" y="5848827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1</xdr:col>
      <xdr:colOff>76200</xdr:colOff>
      <xdr:row>36</xdr:row>
      <xdr:rowOff>33564</xdr:rowOff>
    </xdr:from>
    <xdr:to>
      <xdr:col>1</xdr:col>
      <xdr:colOff>219075</xdr:colOff>
      <xdr:row>36</xdr:row>
      <xdr:rowOff>166914</xdr:rowOff>
    </xdr:to>
    <xdr:sp macro="" textlink="">
      <xdr:nvSpPr>
        <xdr:cNvPr id="43" name="Rectangle 42"/>
        <xdr:cNvSpPr/>
      </xdr:nvSpPr>
      <xdr:spPr>
        <a:xfrm>
          <a:off x="76200" y="6650932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3</xdr:col>
      <xdr:colOff>281940</xdr:colOff>
      <xdr:row>6</xdr:row>
      <xdr:rowOff>121920</xdr:rowOff>
    </xdr:from>
    <xdr:to>
      <xdr:col>3</xdr:col>
      <xdr:colOff>1078230</xdr:colOff>
      <xdr:row>6</xdr:row>
      <xdr:rowOff>121920</xdr:rowOff>
    </xdr:to>
    <xdr:cxnSp macro="">
      <xdr:nvCxnSpPr>
        <xdr:cNvPr id="55" name="Straight Connector 54"/>
        <xdr:cNvCxnSpPr/>
      </xdr:nvCxnSpPr>
      <xdr:spPr>
        <a:xfrm>
          <a:off x="2655570" y="1333500"/>
          <a:ext cx="79629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300990</xdr:colOff>
      <xdr:row>11</xdr:row>
      <xdr:rowOff>121920</xdr:rowOff>
    </xdr:from>
    <xdr:to>
      <xdr:col>3</xdr:col>
      <xdr:colOff>1097280</xdr:colOff>
      <xdr:row>11</xdr:row>
      <xdr:rowOff>121920</xdr:rowOff>
    </xdr:to>
    <xdr:cxnSp macro="">
      <xdr:nvCxnSpPr>
        <xdr:cNvPr id="64" name="Straight Connector 63"/>
        <xdr:cNvCxnSpPr/>
      </xdr:nvCxnSpPr>
      <xdr:spPr>
        <a:xfrm>
          <a:off x="2674620" y="2343150"/>
          <a:ext cx="79629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278130</xdr:colOff>
      <xdr:row>15</xdr:row>
      <xdr:rowOff>121920</xdr:rowOff>
    </xdr:from>
    <xdr:to>
      <xdr:col>3</xdr:col>
      <xdr:colOff>1074420</xdr:colOff>
      <xdr:row>15</xdr:row>
      <xdr:rowOff>121920</xdr:rowOff>
    </xdr:to>
    <xdr:cxnSp macro="">
      <xdr:nvCxnSpPr>
        <xdr:cNvPr id="66" name="Straight Connector 65"/>
        <xdr:cNvCxnSpPr/>
      </xdr:nvCxnSpPr>
      <xdr:spPr>
        <a:xfrm>
          <a:off x="2651760" y="3150870"/>
          <a:ext cx="79629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278130</xdr:colOff>
      <xdr:row>18</xdr:row>
      <xdr:rowOff>121920</xdr:rowOff>
    </xdr:from>
    <xdr:to>
      <xdr:col>3</xdr:col>
      <xdr:colOff>1074420</xdr:colOff>
      <xdr:row>18</xdr:row>
      <xdr:rowOff>121920</xdr:rowOff>
    </xdr:to>
    <xdr:cxnSp macro="">
      <xdr:nvCxnSpPr>
        <xdr:cNvPr id="38" name="Straight Connector 37"/>
        <xdr:cNvCxnSpPr/>
      </xdr:nvCxnSpPr>
      <xdr:spPr>
        <a:xfrm>
          <a:off x="2653906" y="3669161"/>
          <a:ext cx="79629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278130</xdr:colOff>
      <xdr:row>18</xdr:row>
      <xdr:rowOff>121920</xdr:rowOff>
    </xdr:from>
    <xdr:to>
      <xdr:col>3</xdr:col>
      <xdr:colOff>1074420</xdr:colOff>
      <xdr:row>18</xdr:row>
      <xdr:rowOff>121920</xdr:rowOff>
    </xdr:to>
    <xdr:cxnSp macro="">
      <xdr:nvCxnSpPr>
        <xdr:cNvPr id="46" name="Straight Connector 45"/>
        <xdr:cNvCxnSpPr/>
      </xdr:nvCxnSpPr>
      <xdr:spPr>
        <a:xfrm>
          <a:off x="2653906" y="3077954"/>
          <a:ext cx="79629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76200</xdr:colOff>
      <xdr:row>5</xdr:row>
      <xdr:rowOff>38100</xdr:rowOff>
    </xdr:from>
    <xdr:to>
      <xdr:col>7</xdr:col>
      <xdr:colOff>219075</xdr:colOff>
      <xdr:row>5</xdr:row>
      <xdr:rowOff>171450</xdr:rowOff>
    </xdr:to>
    <xdr:sp macro="" textlink="">
      <xdr:nvSpPr>
        <xdr:cNvPr id="21" name="Rectangle 20"/>
        <xdr:cNvSpPr/>
      </xdr:nvSpPr>
      <xdr:spPr>
        <a:xfrm>
          <a:off x="5848350" y="1038225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7</xdr:col>
      <xdr:colOff>76200</xdr:colOff>
      <xdr:row>10</xdr:row>
      <xdr:rowOff>39687</xdr:rowOff>
    </xdr:from>
    <xdr:to>
      <xdr:col>7</xdr:col>
      <xdr:colOff>219075</xdr:colOff>
      <xdr:row>10</xdr:row>
      <xdr:rowOff>173037</xdr:rowOff>
    </xdr:to>
    <xdr:sp macro="" textlink="">
      <xdr:nvSpPr>
        <xdr:cNvPr id="22" name="Rectangle 21"/>
        <xdr:cNvSpPr/>
      </xdr:nvSpPr>
      <xdr:spPr>
        <a:xfrm>
          <a:off x="5848350" y="2039937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7</xdr:col>
      <xdr:colOff>76200</xdr:colOff>
      <xdr:row>14</xdr:row>
      <xdr:rowOff>39687</xdr:rowOff>
    </xdr:from>
    <xdr:to>
      <xdr:col>7</xdr:col>
      <xdr:colOff>219075</xdr:colOff>
      <xdr:row>14</xdr:row>
      <xdr:rowOff>173037</xdr:rowOff>
    </xdr:to>
    <xdr:sp macro="" textlink="">
      <xdr:nvSpPr>
        <xdr:cNvPr id="23" name="Rectangle 22"/>
        <xdr:cNvSpPr/>
      </xdr:nvSpPr>
      <xdr:spPr>
        <a:xfrm>
          <a:off x="5848350" y="2840037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7</xdr:col>
      <xdr:colOff>76200</xdr:colOff>
      <xdr:row>17</xdr:row>
      <xdr:rowOff>39687</xdr:rowOff>
    </xdr:from>
    <xdr:to>
      <xdr:col>7</xdr:col>
      <xdr:colOff>219075</xdr:colOff>
      <xdr:row>17</xdr:row>
      <xdr:rowOff>173037</xdr:rowOff>
    </xdr:to>
    <xdr:sp macro="" textlink="">
      <xdr:nvSpPr>
        <xdr:cNvPr id="24" name="Rectangle 23"/>
        <xdr:cNvSpPr/>
      </xdr:nvSpPr>
      <xdr:spPr>
        <a:xfrm>
          <a:off x="5848350" y="3440112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9</xdr:col>
      <xdr:colOff>139065</xdr:colOff>
      <xdr:row>11</xdr:row>
      <xdr:rowOff>120015</xdr:rowOff>
    </xdr:from>
    <xdr:to>
      <xdr:col>9</xdr:col>
      <xdr:colOff>933450</xdr:colOff>
      <xdr:row>11</xdr:row>
      <xdr:rowOff>120015</xdr:rowOff>
    </xdr:to>
    <xdr:cxnSp macro="">
      <xdr:nvCxnSpPr>
        <xdr:cNvPr id="26" name="Straight Connector 25"/>
        <xdr:cNvCxnSpPr/>
      </xdr:nvCxnSpPr>
      <xdr:spPr>
        <a:xfrm>
          <a:off x="8311515" y="2320290"/>
          <a:ext cx="79438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175172</xdr:colOff>
      <xdr:row>6</xdr:row>
      <xdr:rowOff>120431</xdr:rowOff>
    </xdr:from>
    <xdr:to>
      <xdr:col>9</xdr:col>
      <xdr:colOff>920115</xdr:colOff>
      <xdr:row>6</xdr:row>
      <xdr:rowOff>123825</xdr:rowOff>
    </xdr:to>
    <xdr:cxnSp macro="">
      <xdr:nvCxnSpPr>
        <xdr:cNvPr id="31" name="Straight Connector 30"/>
        <xdr:cNvCxnSpPr/>
      </xdr:nvCxnSpPr>
      <xdr:spPr>
        <a:xfrm>
          <a:off x="8400290" y="1330666"/>
          <a:ext cx="744943" cy="339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139065</xdr:colOff>
      <xdr:row>11</xdr:row>
      <xdr:rowOff>120015</xdr:rowOff>
    </xdr:from>
    <xdr:to>
      <xdr:col>9</xdr:col>
      <xdr:colOff>935355</xdr:colOff>
      <xdr:row>11</xdr:row>
      <xdr:rowOff>120015</xdr:rowOff>
    </xdr:to>
    <xdr:cxnSp macro="">
      <xdr:nvCxnSpPr>
        <xdr:cNvPr id="34" name="Straight Connector 33"/>
        <xdr:cNvCxnSpPr/>
      </xdr:nvCxnSpPr>
      <xdr:spPr>
        <a:xfrm>
          <a:off x="8311515" y="2320290"/>
          <a:ext cx="79629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158115</xdr:colOff>
      <xdr:row>15</xdr:row>
      <xdr:rowOff>110490</xdr:rowOff>
    </xdr:from>
    <xdr:to>
      <xdr:col>9</xdr:col>
      <xdr:colOff>954405</xdr:colOff>
      <xdr:row>15</xdr:row>
      <xdr:rowOff>110490</xdr:rowOff>
    </xdr:to>
    <xdr:cxnSp macro="">
      <xdr:nvCxnSpPr>
        <xdr:cNvPr id="35" name="Straight Connector 34"/>
        <xdr:cNvCxnSpPr/>
      </xdr:nvCxnSpPr>
      <xdr:spPr>
        <a:xfrm>
          <a:off x="8330565" y="3110865"/>
          <a:ext cx="79629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278130</xdr:colOff>
      <xdr:row>18</xdr:row>
      <xdr:rowOff>121920</xdr:rowOff>
    </xdr:from>
    <xdr:to>
      <xdr:col>9</xdr:col>
      <xdr:colOff>1074420</xdr:colOff>
      <xdr:row>18</xdr:row>
      <xdr:rowOff>121920</xdr:rowOff>
    </xdr:to>
    <xdr:cxnSp macro="">
      <xdr:nvCxnSpPr>
        <xdr:cNvPr id="36" name="Straight Connector 35"/>
        <xdr:cNvCxnSpPr/>
      </xdr:nvCxnSpPr>
      <xdr:spPr>
        <a:xfrm>
          <a:off x="8450580" y="3722370"/>
          <a:ext cx="74866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76200</xdr:colOff>
      <xdr:row>26</xdr:row>
      <xdr:rowOff>38100</xdr:rowOff>
    </xdr:from>
    <xdr:to>
      <xdr:col>7</xdr:col>
      <xdr:colOff>219075</xdr:colOff>
      <xdr:row>26</xdr:row>
      <xdr:rowOff>171450</xdr:rowOff>
    </xdr:to>
    <xdr:sp macro="" textlink="">
      <xdr:nvSpPr>
        <xdr:cNvPr id="49" name="Rectangle 48"/>
        <xdr:cNvSpPr/>
      </xdr:nvSpPr>
      <xdr:spPr>
        <a:xfrm>
          <a:off x="5848350" y="5238750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7</xdr:col>
      <xdr:colOff>76200</xdr:colOff>
      <xdr:row>27</xdr:row>
      <xdr:rowOff>39687</xdr:rowOff>
    </xdr:from>
    <xdr:to>
      <xdr:col>7</xdr:col>
      <xdr:colOff>219075</xdr:colOff>
      <xdr:row>27</xdr:row>
      <xdr:rowOff>173037</xdr:rowOff>
    </xdr:to>
    <xdr:sp macro="" textlink="">
      <xdr:nvSpPr>
        <xdr:cNvPr id="50" name="Rectangle 49"/>
        <xdr:cNvSpPr/>
      </xdr:nvSpPr>
      <xdr:spPr>
        <a:xfrm>
          <a:off x="5848350" y="5440362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7</xdr:col>
      <xdr:colOff>76200</xdr:colOff>
      <xdr:row>29</xdr:row>
      <xdr:rowOff>39687</xdr:rowOff>
    </xdr:from>
    <xdr:to>
      <xdr:col>7</xdr:col>
      <xdr:colOff>219075</xdr:colOff>
      <xdr:row>29</xdr:row>
      <xdr:rowOff>173037</xdr:rowOff>
    </xdr:to>
    <xdr:sp macro="" textlink="">
      <xdr:nvSpPr>
        <xdr:cNvPr id="51" name="Rectangle 50"/>
        <xdr:cNvSpPr/>
      </xdr:nvSpPr>
      <xdr:spPr>
        <a:xfrm>
          <a:off x="5848350" y="5840412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7</xdr:col>
      <xdr:colOff>76200</xdr:colOff>
      <xdr:row>28</xdr:row>
      <xdr:rowOff>33564</xdr:rowOff>
    </xdr:from>
    <xdr:to>
      <xdr:col>7</xdr:col>
      <xdr:colOff>219075</xdr:colOff>
      <xdr:row>28</xdr:row>
      <xdr:rowOff>166914</xdr:rowOff>
    </xdr:to>
    <xdr:sp macro="" textlink="">
      <xdr:nvSpPr>
        <xdr:cNvPr id="52" name="Rectangle 51"/>
        <xdr:cNvSpPr/>
      </xdr:nvSpPr>
      <xdr:spPr>
        <a:xfrm>
          <a:off x="5848350" y="5634264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7</xdr:col>
      <xdr:colOff>76200</xdr:colOff>
      <xdr:row>30</xdr:row>
      <xdr:rowOff>33564</xdr:rowOff>
    </xdr:from>
    <xdr:to>
      <xdr:col>7</xdr:col>
      <xdr:colOff>219075</xdr:colOff>
      <xdr:row>30</xdr:row>
      <xdr:rowOff>166914</xdr:rowOff>
    </xdr:to>
    <xdr:sp macro="" textlink="">
      <xdr:nvSpPr>
        <xdr:cNvPr id="53" name="Rectangle 52"/>
        <xdr:cNvSpPr/>
      </xdr:nvSpPr>
      <xdr:spPr>
        <a:xfrm>
          <a:off x="5848350" y="6034314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7</xdr:col>
      <xdr:colOff>76200</xdr:colOff>
      <xdr:row>31</xdr:row>
      <xdr:rowOff>33564</xdr:rowOff>
    </xdr:from>
    <xdr:to>
      <xdr:col>7</xdr:col>
      <xdr:colOff>219075</xdr:colOff>
      <xdr:row>31</xdr:row>
      <xdr:rowOff>166914</xdr:rowOff>
    </xdr:to>
    <xdr:sp macro="" textlink="">
      <xdr:nvSpPr>
        <xdr:cNvPr id="54" name="Rectangle 53"/>
        <xdr:cNvSpPr/>
      </xdr:nvSpPr>
      <xdr:spPr>
        <a:xfrm>
          <a:off x="5848350" y="6234339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7</xdr:col>
      <xdr:colOff>76200</xdr:colOff>
      <xdr:row>35</xdr:row>
      <xdr:rowOff>33564</xdr:rowOff>
    </xdr:from>
    <xdr:to>
      <xdr:col>7</xdr:col>
      <xdr:colOff>219075</xdr:colOff>
      <xdr:row>35</xdr:row>
      <xdr:rowOff>166914</xdr:rowOff>
    </xdr:to>
    <xdr:sp macro="" textlink="">
      <xdr:nvSpPr>
        <xdr:cNvPr id="56" name="Rectangle 55"/>
        <xdr:cNvSpPr/>
      </xdr:nvSpPr>
      <xdr:spPr>
        <a:xfrm>
          <a:off x="5848350" y="7034439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7</xdr:col>
      <xdr:colOff>76200</xdr:colOff>
      <xdr:row>36</xdr:row>
      <xdr:rowOff>33564</xdr:rowOff>
    </xdr:from>
    <xdr:to>
      <xdr:col>7</xdr:col>
      <xdr:colOff>219075</xdr:colOff>
      <xdr:row>36</xdr:row>
      <xdr:rowOff>166914</xdr:rowOff>
    </xdr:to>
    <xdr:sp macro="" textlink="">
      <xdr:nvSpPr>
        <xdr:cNvPr id="57" name="Rectangle 56"/>
        <xdr:cNvSpPr/>
      </xdr:nvSpPr>
      <xdr:spPr>
        <a:xfrm>
          <a:off x="5848350" y="7224939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4</xdr:col>
      <xdr:colOff>281940</xdr:colOff>
      <xdr:row>6</xdr:row>
      <xdr:rowOff>121920</xdr:rowOff>
    </xdr:from>
    <xdr:to>
      <xdr:col>4</xdr:col>
      <xdr:colOff>1078230</xdr:colOff>
      <xdr:row>6</xdr:row>
      <xdr:rowOff>121920</xdr:rowOff>
    </xdr:to>
    <xdr:cxnSp macro="">
      <xdr:nvCxnSpPr>
        <xdr:cNvPr id="58" name="Straight Connector 57"/>
        <xdr:cNvCxnSpPr/>
      </xdr:nvCxnSpPr>
      <xdr:spPr>
        <a:xfrm>
          <a:off x="2872740" y="1322070"/>
          <a:ext cx="72961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300990</xdr:colOff>
      <xdr:row>11</xdr:row>
      <xdr:rowOff>121920</xdr:rowOff>
    </xdr:from>
    <xdr:to>
      <xdr:col>4</xdr:col>
      <xdr:colOff>1097280</xdr:colOff>
      <xdr:row>11</xdr:row>
      <xdr:rowOff>121920</xdr:rowOff>
    </xdr:to>
    <xdr:cxnSp macro="">
      <xdr:nvCxnSpPr>
        <xdr:cNvPr id="59" name="Straight Connector 58"/>
        <xdr:cNvCxnSpPr/>
      </xdr:nvCxnSpPr>
      <xdr:spPr>
        <a:xfrm>
          <a:off x="2891790" y="2322195"/>
          <a:ext cx="71056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278130</xdr:colOff>
      <xdr:row>15</xdr:row>
      <xdr:rowOff>121920</xdr:rowOff>
    </xdr:from>
    <xdr:to>
      <xdr:col>4</xdr:col>
      <xdr:colOff>1074420</xdr:colOff>
      <xdr:row>15</xdr:row>
      <xdr:rowOff>121920</xdr:rowOff>
    </xdr:to>
    <xdr:cxnSp macro="">
      <xdr:nvCxnSpPr>
        <xdr:cNvPr id="60" name="Straight Connector 59"/>
        <xdr:cNvCxnSpPr/>
      </xdr:nvCxnSpPr>
      <xdr:spPr>
        <a:xfrm>
          <a:off x="2868930" y="3122295"/>
          <a:ext cx="72961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278130</xdr:colOff>
      <xdr:row>18</xdr:row>
      <xdr:rowOff>121920</xdr:rowOff>
    </xdr:from>
    <xdr:to>
      <xdr:col>4</xdr:col>
      <xdr:colOff>1074420</xdr:colOff>
      <xdr:row>18</xdr:row>
      <xdr:rowOff>121920</xdr:rowOff>
    </xdr:to>
    <xdr:cxnSp macro="">
      <xdr:nvCxnSpPr>
        <xdr:cNvPr id="61" name="Straight Connector 60"/>
        <xdr:cNvCxnSpPr/>
      </xdr:nvCxnSpPr>
      <xdr:spPr>
        <a:xfrm>
          <a:off x="2868930" y="3722370"/>
          <a:ext cx="72961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278130</xdr:colOff>
      <xdr:row>18</xdr:row>
      <xdr:rowOff>121920</xdr:rowOff>
    </xdr:from>
    <xdr:to>
      <xdr:col>4</xdr:col>
      <xdr:colOff>1074420</xdr:colOff>
      <xdr:row>18</xdr:row>
      <xdr:rowOff>121920</xdr:rowOff>
    </xdr:to>
    <xdr:cxnSp macro="">
      <xdr:nvCxnSpPr>
        <xdr:cNvPr id="62" name="Straight Connector 61"/>
        <xdr:cNvCxnSpPr/>
      </xdr:nvCxnSpPr>
      <xdr:spPr>
        <a:xfrm>
          <a:off x="2868930" y="3722370"/>
          <a:ext cx="72961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175172</xdr:colOff>
      <xdr:row>6</xdr:row>
      <xdr:rowOff>120431</xdr:rowOff>
    </xdr:from>
    <xdr:to>
      <xdr:col>10</xdr:col>
      <xdr:colOff>920115</xdr:colOff>
      <xdr:row>6</xdr:row>
      <xdr:rowOff>123825</xdr:rowOff>
    </xdr:to>
    <xdr:cxnSp macro="">
      <xdr:nvCxnSpPr>
        <xdr:cNvPr id="63" name="Straight Connector 62"/>
        <xdr:cNvCxnSpPr/>
      </xdr:nvCxnSpPr>
      <xdr:spPr>
        <a:xfrm>
          <a:off x="8400290" y="1330666"/>
          <a:ext cx="744943" cy="339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139065</xdr:colOff>
      <xdr:row>11</xdr:row>
      <xdr:rowOff>120015</xdr:rowOff>
    </xdr:from>
    <xdr:to>
      <xdr:col>10</xdr:col>
      <xdr:colOff>933450</xdr:colOff>
      <xdr:row>11</xdr:row>
      <xdr:rowOff>120015</xdr:rowOff>
    </xdr:to>
    <xdr:cxnSp macro="">
      <xdr:nvCxnSpPr>
        <xdr:cNvPr id="65" name="Straight Connector 64"/>
        <xdr:cNvCxnSpPr/>
      </xdr:nvCxnSpPr>
      <xdr:spPr>
        <a:xfrm>
          <a:off x="8364183" y="2338780"/>
          <a:ext cx="79438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139065</xdr:colOff>
      <xdr:row>11</xdr:row>
      <xdr:rowOff>120015</xdr:rowOff>
    </xdr:from>
    <xdr:to>
      <xdr:col>10</xdr:col>
      <xdr:colOff>935355</xdr:colOff>
      <xdr:row>11</xdr:row>
      <xdr:rowOff>120015</xdr:rowOff>
    </xdr:to>
    <xdr:cxnSp macro="">
      <xdr:nvCxnSpPr>
        <xdr:cNvPr id="67" name="Straight Connector 66"/>
        <xdr:cNvCxnSpPr/>
      </xdr:nvCxnSpPr>
      <xdr:spPr>
        <a:xfrm>
          <a:off x="8364183" y="2338780"/>
          <a:ext cx="79629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158115</xdr:colOff>
      <xdr:row>15</xdr:row>
      <xdr:rowOff>110490</xdr:rowOff>
    </xdr:from>
    <xdr:to>
      <xdr:col>10</xdr:col>
      <xdr:colOff>954405</xdr:colOff>
      <xdr:row>15</xdr:row>
      <xdr:rowOff>110490</xdr:rowOff>
    </xdr:to>
    <xdr:cxnSp macro="">
      <xdr:nvCxnSpPr>
        <xdr:cNvPr id="68" name="Straight Connector 67"/>
        <xdr:cNvCxnSpPr/>
      </xdr:nvCxnSpPr>
      <xdr:spPr>
        <a:xfrm>
          <a:off x="8383233" y="3136078"/>
          <a:ext cx="79629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278130</xdr:colOff>
      <xdr:row>18</xdr:row>
      <xdr:rowOff>121920</xdr:rowOff>
    </xdr:from>
    <xdr:to>
      <xdr:col>10</xdr:col>
      <xdr:colOff>1074420</xdr:colOff>
      <xdr:row>18</xdr:row>
      <xdr:rowOff>121920</xdr:rowOff>
    </xdr:to>
    <xdr:cxnSp macro="">
      <xdr:nvCxnSpPr>
        <xdr:cNvPr id="69" name="Straight Connector 68"/>
        <xdr:cNvCxnSpPr/>
      </xdr:nvCxnSpPr>
      <xdr:spPr>
        <a:xfrm>
          <a:off x="8503248" y="3752626"/>
          <a:ext cx="72961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278130</xdr:colOff>
      <xdr:row>15</xdr:row>
      <xdr:rowOff>121920</xdr:rowOff>
    </xdr:from>
    <xdr:to>
      <xdr:col>4</xdr:col>
      <xdr:colOff>1074420</xdr:colOff>
      <xdr:row>15</xdr:row>
      <xdr:rowOff>121920</xdr:rowOff>
    </xdr:to>
    <xdr:cxnSp macro="">
      <xdr:nvCxnSpPr>
        <xdr:cNvPr id="47" name="Straight Connector 46"/>
        <xdr:cNvCxnSpPr/>
      </xdr:nvCxnSpPr>
      <xdr:spPr>
        <a:xfrm>
          <a:off x="3123724" y="3158014"/>
          <a:ext cx="72961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278130</xdr:colOff>
      <xdr:row>18</xdr:row>
      <xdr:rowOff>121920</xdr:rowOff>
    </xdr:from>
    <xdr:to>
      <xdr:col>4</xdr:col>
      <xdr:colOff>1074420</xdr:colOff>
      <xdr:row>18</xdr:row>
      <xdr:rowOff>121920</xdr:rowOff>
    </xdr:to>
    <xdr:cxnSp macro="">
      <xdr:nvCxnSpPr>
        <xdr:cNvPr id="48" name="Straight Connector 47"/>
        <xdr:cNvCxnSpPr/>
      </xdr:nvCxnSpPr>
      <xdr:spPr>
        <a:xfrm>
          <a:off x="3123724" y="3765233"/>
          <a:ext cx="72961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278130</xdr:colOff>
      <xdr:row>18</xdr:row>
      <xdr:rowOff>121920</xdr:rowOff>
    </xdr:from>
    <xdr:to>
      <xdr:col>4</xdr:col>
      <xdr:colOff>1074420</xdr:colOff>
      <xdr:row>18</xdr:row>
      <xdr:rowOff>121920</xdr:rowOff>
    </xdr:to>
    <xdr:cxnSp macro="">
      <xdr:nvCxnSpPr>
        <xdr:cNvPr id="70" name="Straight Connector 69"/>
        <xdr:cNvCxnSpPr/>
      </xdr:nvCxnSpPr>
      <xdr:spPr>
        <a:xfrm>
          <a:off x="3123724" y="3765233"/>
          <a:ext cx="72961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175172</xdr:colOff>
      <xdr:row>6</xdr:row>
      <xdr:rowOff>120431</xdr:rowOff>
    </xdr:from>
    <xdr:to>
      <xdr:col>10</xdr:col>
      <xdr:colOff>920115</xdr:colOff>
      <xdr:row>6</xdr:row>
      <xdr:rowOff>123825</xdr:rowOff>
    </xdr:to>
    <xdr:cxnSp macro="">
      <xdr:nvCxnSpPr>
        <xdr:cNvPr id="71" name="Straight Connector 70"/>
        <xdr:cNvCxnSpPr/>
      </xdr:nvCxnSpPr>
      <xdr:spPr>
        <a:xfrm>
          <a:off x="8676235" y="1334869"/>
          <a:ext cx="744943" cy="339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139065</xdr:colOff>
      <xdr:row>11</xdr:row>
      <xdr:rowOff>120015</xdr:rowOff>
    </xdr:from>
    <xdr:to>
      <xdr:col>10</xdr:col>
      <xdr:colOff>933450</xdr:colOff>
      <xdr:row>11</xdr:row>
      <xdr:rowOff>120015</xdr:rowOff>
    </xdr:to>
    <xdr:cxnSp macro="">
      <xdr:nvCxnSpPr>
        <xdr:cNvPr id="72" name="Straight Connector 71"/>
        <xdr:cNvCxnSpPr/>
      </xdr:nvCxnSpPr>
      <xdr:spPr>
        <a:xfrm>
          <a:off x="8640128" y="2346484"/>
          <a:ext cx="79438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139065</xdr:colOff>
      <xdr:row>11</xdr:row>
      <xdr:rowOff>120015</xdr:rowOff>
    </xdr:from>
    <xdr:to>
      <xdr:col>10</xdr:col>
      <xdr:colOff>935355</xdr:colOff>
      <xdr:row>11</xdr:row>
      <xdr:rowOff>120015</xdr:rowOff>
    </xdr:to>
    <xdr:cxnSp macro="">
      <xdr:nvCxnSpPr>
        <xdr:cNvPr id="73" name="Straight Connector 72"/>
        <xdr:cNvCxnSpPr/>
      </xdr:nvCxnSpPr>
      <xdr:spPr>
        <a:xfrm>
          <a:off x="8640128" y="2346484"/>
          <a:ext cx="79629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158115</xdr:colOff>
      <xdr:row>15</xdr:row>
      <xdr:rowOff>110490</xdr:rowOff>
    </xdr:from>
    <xdr:to>
      <xdr:col>10</xdr:col>
      <xdr:colOff>954405</xdr:colOff>
      <xdr:row>15</xdr:row>
      <xdr:rowOff>110490</xdr:rowOff>
    </xdr:to>
    <xdr:cxnSp macro="">
      <xdr:nvCxnSpPr>
        <xdr:cNvPr id="74" name="Straight Connector 73"/>
        <xdr:cNvCxnSpPr/>
      </xdr:nvCxnSpPr>
      <xdr:spPr>
        <a:xfrm>
          <a:off x="8659178" y="3146584"/>
          <a:ext cx="79629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278130</xdr:colOff>
      <xdr:row>18</xdr:row>
      <xdr:rowOff>121920</xdr:rowOff>
    </xdr:from>
    <xdr:to>
      <xdr:col>10</xdr:col>
      <xdr:colOff>1074420</xdr:colOff>
      <xdr:row>18</xdr:row>
      <xdr:rowOff>121920</xdr:rowOff>
    </xdr:to>
    <xdr:cxnSp macro="">
      <xdr:nvCxnSpPr>
        <xdr:cNvPr id="75" name="Straight Connector 74"/>
        <xdr:cNvCxnSpPr/>
      </xdr:nvCxnSpPr>
      <xdr:spPr>
        <a:xfrm>
          <a:off x="8779193" y="3765233"/>
          <a:ext cx="72961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5</xdr:row>
      <xdr:rowOff>38100</xdr:rowOff>
    </xdr:from>
    <xdr:to>
      <xdr:col>0</xdr:col>
      <xdr:colOff>219075</xdr:colOff>
      <xdr:row>5</xdr:row>
      <xdr:rowOff>171450</xdr:rowOff>
    </xdr:to>
    <xdr:sp macro="" textlink="">
      <xdr:nvSpPr>
        <xdr:cNvPr id="2" name="Rectangle 1"/>
        <xdr:cNvSpPr/>
      </xdr:nvSpPr>
      <xdr:spPr>
        <a:xfrm>
          <a:off x="76200" y="1038225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0</xdr:col>
      <xdr:colOff>76200</xdr:colOff>
      <xdr:row>10</xdr:row>
      <xdr:rowOff>39687</xdr:rowOff>
    </xdr:from>
    <xdr:to>
      <xdr:col>0</xdr:col>
      <xdr:colOff>219075</xdr:colOff>
      <xdr:row>10</xdr:row>
      <xdr:rowOff>173037</xdr:rowOff>
    </xdr:to>
    <xdr:sp macro="" textlink="">
      <xdr:nvSpPr>
        <xdr:cNvPr id="3" name="Rectangle 2"/>
        <xdr:cNvSpPr/>
      </xdr:nvSpPr>
      <xdr:spPr>
        <a:xfrm>
          <a:off x="76200" y="2039937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0</xdr:col>
      <xdr:colOff>76200</xdr:colOff>
      <xdr:row>14</xdr:row>
      <xdr:rowOff>39687</xdr:rowOff>
    </xdr:from>
    <xdr:to>
      <xdr:col>0</xdr:col>
      <xdr:colOff>219075</xdr:colOff>
      <xdr:row>14</xdr:row>
      <xdr:rowOff>173037</xdr:rowOff>
    </xdr:to>
    <xdr:sp macro="" textlink="">
      <xdr:nvSpPr>
        <xdr:cNvPr id="4" name="Rectangle 3"/>
        <xdr:cNvSpPr/>
      </xdr:nvSpPr>
      <xdr:spPr>
        <a:xfrm>
          <a:off x="76200" y="2840037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0</xdr:col>
      <xdr:colOff>76200</xdr:colOff>
      <xdr:row>53</xdr:row>
      <xdr:rowOff>38100</xdr:rowOff>
    </xdr:from>
    <xdr:to>
      <xdr:col>0</xdr:col>
      <xdr:colOff>219075</xdr:colOff>
      <xdr:row>53</xdr:row>
      <xdr:rowOff>171450</xdr:rowOff>
    </xdr:to>
    <xdr:sp macro="" textlink="">
      <xdr:nvSpPr>
        <xdr:cNvPr id="5" name="Rectangle 4"/>
        <xdr:cNvSpPr/>
      </xdr:nvSpPr>
      <xdr:spPr>
        <a:xfrm>
          <a:off x="5629275" y="1038225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0</xdr:col>
      <xdr:colOff>76200</xdr:colOff>
      <xdr:row>58</xdr:row>
      <xdr:rowOff>39687</xdr:rowOff>
    </xdr:from>
    <xdr:to>
      <xdr:col>0</xdr:col>
      <xdr:colOff>219075</xdr:colOff>
      <xdr:row>58</xdr:row>
      <xdr:rowOff>173037</xdr:rowOff>
    </xdr:to>
    <xdr:sp macro="" textlink="">
      <xdr:nvSpPr>
        <xdr:cNvPr id="6" name="Rectangle 5"/>
        <xdr:cNvSpPr/>
      </xdr:nvSpPr>
      <xdr:spPr>
        <a:xfrm>
          <a:off x="5629275" y="2039937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0</xdr:col>
      <xdr:colOff>76200</xdr:colOff>
      <xdr:row>62</xdr:row>
      <xdr:rowOff>39687</xdr:rowOff>
    </xdr:from>
    <xdr:to>
      <xdr:col>0</xdr:col>
      <xdr:colOff>219075</xdr:colOff>
      <xdr:row>62</xdr:row>
      <xdr:rowOff>173037</xdr:rowOff>
    </xdr:to>
    <xdr:sp macro="" textlink="">
      <xdr:nvSpPr>
        <xdr:cNvPr id="7" name="Rectangle 6"/>
        <xdr:cNvSpPr/>
      </xdr:nvSpPr>
      <xdr:spPr>
        <a:xfrm>
          <a:off x="5629275" y="2840037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0</xdr:col>
      <xdr:colOff>76200</xdr:colOff>
      <xdr:row>17</xdr:row>
      <xdr:rowOff>39687</xdr:rowOff>
    </xdr:from>
    <xdr:to>
      <xdr:col>0</xdr:col>
      <xdr:colOff>219075</xdr:colOff>
      <xdr:row>17</xdr:row>
      <xdr:rowOff>173037</xdr:rowOff>
    </xdr:to>
    <xdr:sp macro="" textlink="">
      <xdr:nvSpPr>
        <xdr:cNvPr id="8" name="Rectangle 7"/>
        <xdr:cNvSpPr/>
      </xdr:nvSpPr>
      <xdr:spPr>
        <a:xfrm>
          <a:off x="76200" y="3440112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0</xdr:col>
      <xdr:colOff>76200</xdr:colOff>
      <xdr:row>65</xdr:row>
      <xdr:rowOff>39687</xdr:rowOff>
    </xdr:from>
    <xdr:to>
      <xdr:col>0</xdr:col>
      <xdr:colOff>219075</xdr:colOff>
      <xdr:row>65</xdr:row>
      <xdr:rowOff>173037</xdr:rowOff>
    </xdr:to>
    <xdr:sp macro="" textlink="">
      <xdr:nvSpPr>
        <xdr:cNvPr id="9" name="Rectangle 8"/>
        <xdr:cNvSpPr/>
      </xdr:nvSpPr>
      <xdr:spPr>
        <a:xfrm>
          <a:off x="5629275" y="3440112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2</xdr:col>
      <xdr:colOff>281940</xdr:colOff>
      <xdr:row>6</xdr:row>
      <xdr:rowOff>121920</xdr:rowOff>
    </xdr:from>
    <xdr:to>
      <xdr:col>2</xdr:col>
      <xdr:colOff>1078230</xdr:colOff>
      <xdr:row>6</xdr:row>
      <xdr:rowOff>121920</xdr:rowOff>
    </xdr:to>
    <xdr:cxnSp macro="">
      <xdr:nvCxnSpPr>
        <xdr:cNvPr id="26" name="Straight Connector 25"/>
        <xdr:cNvCxnSpPr/>
      </xdr:nvCxnSpPr>
      <xdr:spPr>
        <a:xfrm>
          <a:off x="2653665" y="1322070"/>
          <a:ext cx="79629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300990</xdr:colOff>
      <xdr:row>11</xdr:row>
      <xdr:rowOff>121920</xdr:rowOff>
    </xdr:from>
    <xdr:to>
      <xdr:col>2</xdr:col>
      <xdr:colOff>1097280</xdr:colOff>
      <xdr:row>11</xdr:row>
      <xdr:rowOff>121920</xdr:rowOff>
    </xdr:to>
    <xdr:cxnSp macro="">
      <xdr:nvCxnSpPr>
        <xdr:cNvPr id="27" name="Straight Connector 26"/>
        <xdr:cNvCxnSpPr/>
      </xdr:nvCxnSpPr>
      <xdr:spPr>
        <a:xfrm>
          <a:off x="2672715" y="2322195"/>
          <a:ext cx="79629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139065</xdr:colOff>
      <xdr:row>59</xdr:row>
      <xdr:rowOff>120015</xdr:rowOff>
    </xdr:from>
    <xdr:to>
      <xdr:col>2</xdr:col>
      <xdr:colOff>933450</xdr:colOff>
      <xdr:row>59</xdr:row>
      <xdr:rowOff>120015</xdr:rowOff>
    </xdr:to>
    <xdr:cxnSp macro="">
      <xdr:nvCxnSpPr>
        <xdr:cNvPr id="28" name="Straight Connector 27"/>
        <xdr:cNvCxnSpPr/>
      </xdr:nvCxnSpPr>
      <xdr:spPr>
        <a:xfrm>
          <a:off x="8092440" y="2320290"/>
          <a:ext cx="79438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182880</xdr:colOff>
      <xdr:row>15</xdr:row>
      <xdr:rowOff>121920</xdr:rowOff>
    </xdr:from>
    <xdr:to>
      <xdr:col>2</xdr:col>
      <xdr:colOff>883920</xdr:colOff>
      <xdr:row>15</xdr:row>
      <xdr:rowOff>121920</xdr:rowOff>
    </xdr:to>
    <xdr:cxnSp macro="">
      <xdr:nvCxnSpPr>
        <xdr:cNvPr id="29" name="Straight Connector 28"/>
        <xdr:cNvCxnSpPr/>
      </xdr:nvCxnSpPr>
      <xdr:spPr>
        <a:xfrm>
          <a:off x="2735580" y="3131820"/>
          <a:ext cx="70104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123825</xdr:colOff>
      <xdr:row>54</xdr:row>
      <xdr:rowOff>123825</xdr:rowOff>
    </xdr:from>
    <xdr:to>
      <xdr:col>2</xdr:col>
      <xdr:colOff>920115</xdr:colOff>
      <xdr:row>54</xdr:row>
      <xdr:rowOff>123825</xdr:rowOff>
    </xdr:to>
    <xdr:cxnSp macro="">
      <xdr:nvCxnSpPr>
        <xdr:cNvPr id="30" name="Straight Connector 29"/>
        <xdr:cNvCxnSpPr/>
      </xdr:nvCxnSpPr>
      <xdr:spPr>
        <a:xfrm>
          <a:off x="8077200" y="1323975"/>
          <a:ext cx="79629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139065</xdr:colOff>
      <xdr:row>59</xdr:row>
      <xdr:rowOff>120015</xdr:rowOff>
    </xdr:from>
    <xdr:to>
      <xdr:col>2</xdr:col>
      <xdr:colOff>935355</xdr:colOff>
      <xdr:row>59</xdr:row>
      <xdr:rowOff>120015</xdr:rowOff>
    </xdr:to>
    <xdr:cxnSp macro="">
      <xdr:nvCxnSpPr>
        <xdr:cNvPr id="31" name="Straight Connector 30"/>
        <xdr:cNvCxnSpPr/>
      </xdr:nvCxnSpPr>
      <xdr:spPr>
        <a:xfrm>
          <a:off x="8092440" y="2320290"/>
          <a:ext cx="79629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158115</xdr:colOff>
      <xdr:row>63</xdr:row>
      <xdr:rowOff>110490</xdr:rowOff>
    </xdr:from>
    <xdr:to>
      <xdr:col>2</xdr:col>
      <xdr:colOff>954405</xdr:colOff>
      <xdr:row>63</xdr:row>
      <xdr:rowOff>110490</xdr:rowOff>
    </xdr:to>
    <xdr:cxnSp macro="">
      <xdr:nvCxnSpPr>
        <xdr:cNvPr id="32" name="Straight Connector 31"/>
        <xdr:cNvCxnSpPr/>
      </xdr:nvCxnSpPr>
      <xdr:spPr>
        <a:xfrm>
          <a:off x="8111490" y="3110865"/>
          <a:ext cx="79629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281940</xdr:colOff>
      <xdr:row>54</xdr:row>
      <xdr:rowOff>121920</xdr:rowOff>
    </xdr:from>
    <xdr:to>
      <xdr:col>2</xdr:col>
      <xdr:colOff>1078230</xdr:colOff>
      <xdr:row>54</xdr:row>
      <xdr:rowOff>121920</xdr:rowOff>
    </xdr:to>
    <xdr:cxnSp macro="">
      <xdr:nvCxnSpPr>
        <xdr:cNvPr id="17" name="Straight Connector 16"/>
        <xdr:cNvCxnSpPr/>
      </xdr:nvCxnSpPr>
      <xdr:spPr>
        <a:xfrm>
          <a:off x="2834640" y="1331595"/>
          <a:ext cx="70104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300990</xdr:colOff>
      <xdr:row>59</xdr:row>
      <xdr:rowOff>121920</xdr:rowOff>
    </xdr:from>
    <xdr:to>
      <xdr:col>2</xdr:col>
      <xdr:colOff>1097280</xdr:colOff>
      <xdr:row>59</xdr:row>
      <xdr:rowOff>121920</xdr:rowOff>
    </xdr:to>
    <xdr:cxnSp macro="">
      <xdr:nvCxnSpPr>
        <xdr:cNvPr id="18" name="Straight Connector 17"/>
        <xdr:cNvCxnSpPr/>
      </xdr:nvCxnSpPr>
      <xdr:spPr>
        <a:xfrm>
          <a:off x="2853690" y="2331720"/>
          <a:ext cx="68199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144780</xdr:colOff>
      <xdr:row>18</xdr:row>
      <xdr:rowOff>131445</xdr:rowOff>
    </xdr:from>
    <xdr:to>
      <xdr:col>2</xdr:col>
      <xdr:colOff>845820</xdr:colOff>
      <xdr:row>18</xdr:row>
      <xdr:rowOff>131445</xdr:rowOff>
    </xdr:to>
    <xdr:cxnSp macro="">
      <xdr:nvCxnSpPr>
        <xdr:cNvPr id="19" name="Straight Connector 18"/>
        <xdr:cNvCxnSpPr/>
      </xdr:nvCxnSpPr>
      <xdr:spPr>
        <a:xfrm>
          <a:off x="2697480" y="3741420"/>
          <a:ext cx="70104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74083</xdr:colOff>
      <xdr:row>105</xdr:row>
      <xdr:rowOff>184150</xdr:rowOff>
    </xdr:from>
    <xdr:to>
      <xdr:col>23</xdr:col>
      <xdr:colOff>10583</xdr:colOff>
      <xdr:row>119</xdr:row>
      <xdr:rowOff>112184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5</xdr:row>
      <xdr:rowOff>38100</xdr:rowOff>
    </xdr:from>
    <xdr:to>
      <xdr:col>0</xdr:col>
      <xdr:colOff>219075</xdr:colOff>
      <xdr:row>5</xdr:row>
      <xdr:rowOff>171450</xdr:rowOff>
    </xdr:to>
    <xdr:sp macro="" textlink="">
      <xdr:nvSpPr>
        <xdr:cNvPr id="2" name="Rectangle 1"/>
        <xdr:cNvSpPr/>
      </xdr:nvSpPr>
      <xdr:spPr>
        <a:xfrm>
          <a:off x="76200" y="1047750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0</xdr:col>
      <xdr:colOff>76200</xdr:colOff>
      <xdr:row>10</xdr:row>
      <xdr:rowOff>39687</xdr:rowOff>
    </xdr:from>
    <xdr:to>
      <xdr:col>0</xdr:col>
      <xdr:colOff>219075</xdr:colOff>
      <xdr:row>10</xdr:row>
      <xdr:rowOff>173037</xdr:rowOff>
    </xdr:to>
    <xdr:sp macro="" textlink="">
      <xdr:nvSpPr>
        <xdr:cNvPr id="3" name="Rectangle 2"/>
        <xdr:cNvSpPr/>
      </xdr:nvSpPr>
      <xdr:spPr>
        <a:xfrm>
          <a:off x="76200" y="2049462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0</xdr:col>
      <xdr:colOff>76200</xdr:colOff>
      <xdr:row>14</xdr:row>
      <xdr:rowOff>39687</xdr:rowOff>
    </xdr:from>
    <xdr:to>
      <xdr:col>0</xdr:col>
      <xdr:colOff>219075</xdr:colOff>
      <xdr:row>14</xdr:row>
      <xdr:rowOff>173037</xdr:rowOff>
    </xdr:to>
    <xdr:sp macro="" textlink="">
      <xdr:nvSpPr>
        <xdr:cNvPr id="4" name="Rectangle 3"/>
        <xdr:cNvSpPr/>
      </xdr:nvSpPr>
      <xdr:spPr>
        <a:xfrm>
          <a:off x="76200" y="2849562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0</xdr:col>
      <xdr:colOff>76200</xdr:colOff>
      <xdr:row>53</xdr:row>
      <xdr:rowOff>38100</xdr:rowOff>
    </xdr:from>
    <xdr:to>
      <xdr:col>0</xdr:col>
      <xdr:colOff>219075</xdr:colOff>
      <xdr:row>53</xdr:row>
      <xdr:rowOff>171450</xdr:rowOff>
    </xdr:to>
    <xdr:sp macro="" textlink="">
      <xdr:nvSpPr>
        <xdr:cNvPr id="5" name="Rectangle 4"/>
        <xdr:cNvSpPr/>
      </xdr:nvSpPr>
      <xdr:spPr>
        <a:xfrm>
          <a:off x="76200" y="10677525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0</xdr:col>
      <xdr:colOff>76200</xdr:colOff>
      <xdr:row>58</xdr:row>
      <xdr:rowOff>39687</xdr:rowOff>
    </xdr:from>
    <xdr:to>
      <xdr:col>0</xdr:col>
      <xdr:colOff>219075</xdr:colOff>
      <xdr:row>58</xdr:row>
      <xdr:rowOff>173037</xdr:rowOff>
    </xdr:to>
    <xdr:sp macro="" textlink="">
      <xdr:nvSpPr>
        <xdr:cNvPr id="6" name="Rectangle 5"/>
        <xdr:cNvSpPr/>
      </xdr:nvSpPr>
      <xdr:spPr>
        <a:xfrm>
          <a:off x="76200" y="11679237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0</xdr:col>
      <xdr:colOff>76200</xdr:colOff>
      <xdr:row>62</xdr:row>
      <xdr:rowOff>39687</xdr:rowOff>
    </xdr:from>
    <xdr:to>
      <xdr:col>0</xdr:col>
      <xdr:colOff>219075</xdr:colOff>
      <xdr:row>62</xdr:row>
      <xdr:rowOff>173037</xdr:rowOff>
    </xdr:to>
    <xdr:sp macro="" textlink="">
      <xdr:nvSpPr>
        <xdr:cNvPr id="7" name="Rectangle 6"/>
        <xdr:cNvSpPr/>
      </xdr:nvSpPr>
      <xdr:spPr>
        <a:xfrm>
          <a:off x="76200" y="12479337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0</xdr:col>
      <xdr:colOff>76200</xdr:colOff>
      <xdr:row>17</xdr:row>
      <xdr:rowOff>39687</xdr:rowOff>
    </xdr:from>
    <xdr:to>
      <xdr:col>0</xdr:col>
      <xdr:colOff>219075</xdr:colOff>
      <xdr:row>17</xdr:row>
      <xdr:rowOff>173037</xdr:rowOff>
    </xdr:to>
    <xdr:sp macro="" textlink="">
      <xdr:nvSpPr>
        <xdr:cNvPr id="8" name="Rectangle 7"/>
        <xdr:cNvSpPr/>
      </xdr:nvSpPr>
      <xdr:spPr>
        <a:xfrm>
          <a:off x="76200" y="3449637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0</xdr:col>
      <xdr:colOff>76200</xdr:colOff>
      <xdr:row>65</xdr:row>
      <xdr:rowOff>39687</xdr:rowOff>
    </xdr:from>
    <xdr:to>
      <xdr:col>0</xdr:col>
      <xdr:colOff>219075</xdr:colOff>
      <xdr:row>65</xdr:row>
      <xdr:rowOff>173037</xdr:rowOff>
    </xdr:to>
    <xdr:sp macro="" textlink="">
      <xdr:nvSpPr>
        <xdr:cNvPr id="9" name="Rectangle 8"/>
        <xdr:cNvSpPr/>
      </xdr:nvSpPr>
      <xdr:spPr>
        <a:xfrm>
          <a:off x="76200" y="13079412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2</xdr:col>
      <xdr:colOff>281940</xdr:colOff>
      <xdr:row>6</xdr:row>
      <xdr:rowOff>121920</xdr:rowOff>
    </xdr:from>
    <xdr:to>
      <xdr:col>2</xdr:col>
      <xdr:colOff>1078230</xdr:colOff>
      <xdr:row>6</xdr:row>
      <xdr:rowOff>121920</xdr:rowOff>
    </xdr:to>
    <xdr:cxnSp macro="">
      <xdr:nvCxnSpPr>
        <xdr:cNvPr id="10" name="Straight Connector 9"/>
        <xdr:cNvCxnSpPr/>
      </xdr:nvCxnSpPr>
      <xdr:spPr>
        <a:xfrm>
          <a:off x="3187065" y="1331595"/>
          <a:ext cx="70104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300990</xdr:colOff>
      <xdr:row>11</xdr:row>
      <xdr:rowOff>121920</xdr:rowOff>
    </xdr:from>
    <xdr:to>
      <xdr:col>2</xdr:col>
      <xdr:colOff>1097280</xdr:colOff>
      <xdr:row>11</xdr:row>
      <xdr:rowOff>121920</xdr:rowOff>
    </xdr:to>
    <xdr:cxnSp macro="">
      <xdr:nvCxnSpPr>
        <xdr:cNvPr id="11" name="Straight Connector 10"/>
        <xdr:cNvCxnSpPr/>
      </xdr:nvCxnSpPr>
      <xdr:spPr>
        <a:xfrm>
          <a:off x="3206115" y="2331720"/>
          <a:ext cx="68199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139065</xdr:colOff>
      <xdr:row>59</xdr:row>
      <xdr:rowOff>120015</xdr:rowOff>
    </xdr:from>
    <xdr:to>
      <xdr:col>2</xdr:col>
      <xdr:colOff>933450</xdr:colOff>
      <xdr:row>59</xdr:row>
      <xdr:rowOff>120015</xdr:rowOff>
    </xdr:to>
    <xdr:cxnSp macro="">
      <xdr:nvCxnSpPr>
        <xdr:cNvPr id="12" name="Straight Connector 11"/>
        <xdr:cNvCxnSpPr/>
      </xdr:nvCxnSpPr>
      <xdr:spPr>
        <a:xfrm>
          <a:off x="3044190" y="11959590"/>
          <a:ext cx="79438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182880</xdr:colOff>
      <xdr:row>15</xdr:row>
      <xdr:rowOff>121920</xdr:rowOff>
    </xdr:from>
    <xdr:to>
      <xdr:col>2</xdr:col>
      <xdr:colOff>883920</xdr:colOff>
      <xdr:row>15</xdr:row>
      <xdr:rowOff>121920</xdr:rowOff>
    </xdr:to>
    <xdr:cxnSp macro="">
      <xdr:nvCxnSpPr>
        <xdr:cNvPr id="13" name="Straight Connector 12"/>
        <xdr:cNvCxnSpPr/>
      </xdr:nvCxnSpPr>
      <xdr:spPr>
        <a:xfrm>
          <a:off x="3088005" y="3131820"/>
          <a:ext cx="70104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123825</xdr:colOff>
      <xdr:row>54</xdr:row>
      <xdr:rowOff>123825</xdr:rowOff>
    </xdr:from>
    <xdr:to>
      <xdr:col>2</xdr:col>
      <xdr:colOff>920115</xdr:colOff>
      <xdr:row>54</xdr:row>
      <xdr:rowOff>123825</xdr:rowOff>
    </xdr:to>
    <xdr:cxnSp macro="">
      <xdr:nvCxnSpPr>
        <xdr:cNvPr id="14" name="Straight Connector 13"/>
        <xdr:cNvCxnSpPr/>
      </xdr:nvCxnSpPr>
      <xdr:spPr>
        <a:xfrm>
          <a:off x="3028950" y="10963275"/>
          <a:ext cx="79629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139065</xdr:colOff>
      <xdr:row>59</xdr:row>
      <xdr:rowOff>120015</xdr:rowOff>
    </xdr:from>
    <xdr:to>
      <xdr:col>2</xdr:col>
      <xdr:colOff>935355</xdr:colOff>
      <xdr:row>59</xdr:row>
      <xdr:rowOff>120015</xdr:rowOff>
    </xdr:to>
    <xdr:cxnSp macro="">
      <xdr:nvCxnSpPr>
        <xdr:cNvPr id="15" name="Straight Connector 14"/>
        <xdr:cNvCxnSpPr/>
      </xdr:nvCxnSpPr>
      <xdr:spPr>
        <a:xfrm>
          <a:off x="3044190" y="11959590"/>
          <a:ext cx="79629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158115</xdr:colOff>
      <xdr:row>63</xdr:row>
      <xdr:rowOff>110490</xdr:rowOff>
    </xdr:from>
    <xdr:to>
      <xdr:col>2</xdr:col>
      <xdr:colOff>954405</xdr:colOff>
      <xdr:row>63</xdr:row>
      <xdr:rowOff>110490</xdr:rowOff>
    </xdr:to>
    <xdr:cxnSp macro="">
      <xdr:nvCxnSpPr>
        <xdr:cNvPr id="16" name="Straight Connector 15"/>
        <xdr:cNvCxnSpPr/>
      </xdr:nvCxnSpPr>
      <xdr:spPr>
        <a:xfrm>
          <a:off x="3063240" y="12750165"/>
          <a:ext cx="79629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281940</xdr:colOff>
      <xdr:row>54</xdr:row>
      <xdr:rowOff>121920</xdr:rowOff>
    </xdr:from>
    <xdr:to>
      <xdr:col>2</xdr:col>
      <xdr:colOff>1078230</xdr:colOff>
      <xdr:row>54</xdr:row>
      <xdr:rowOff>121920</xdr:rowOff>
    </xdr:to>
    <xdr:cxnSp macro="">
      <xdr:nvCxnSpPr>
        <xdr:cNvPr id="17" name="Straight Connector 16"/>
        <xdr:cNvCxnSpPr/>
      </xdr:nvCxnSpPr>
      <xdr:spPr>
        <a:xfrm>
          <a:off x="3187065" y="10961370"/>
          <a:ext cx="70104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300990</xdr:colOff>
      <xdr:row>59</xdr:row>
      <xdr:rowOff>121920</xdr:rowOff>
    </xdr:from>
    <xdr:to>
      <xdr:col>2</xdr:col>
      <xdr:colOff>1097280</xdr:colOff>
      <xdr:row>59</xdr:row>
      <xdr:rowOff>121920</xdr:rowOff>
    </xdr:to>
    <xdr:cxnSp macro="">
      <xdr:nvCxnSpPr>
        <xdr:cNvPr id="18" name="Straight Connector 17"/>
        <xdr:cNvCxnSpPr/>
      </xdr:nvCxnSpPr>
      <xdr:spPr>
        <a:xfrm>
          <a:off x="3206115" y="11961495"/>
          <a:ext cx="68199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144780</xdr:colOff>
      <xdr:row>18</xdr:row>
      <xdr:rowOff>131445</xdr:rowOff>
    </xdr:from>
    <xdr:to>
      <xdr:col>2</xdr:col>
      <xdr:colOff>845820</xdr:colOff>
      <xdr:row>18</xdr:row>
      <xdr:rowOff>131445</xdr:rowOff>
    </xdr:to>
    <xdr:cxnSp macro="">
      <xdr:nvCxnSpPr>
        <xdr:cNvPr id="19" name="Straight Connector 18"/>
        <xdr:cNvCxnSpPr/>
      </xdr:nvCxnSpPr>
      <xdr:spPr>
        <a:xfrm>
          <a:off x="3049905" y="3741420"/>
          <a:ext cx="70104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74083</xdr:colOff>
      <xdr:row>105</xdr:row>
      <xdr:rowOff>184150</xdr:rowOff>
    </xdr:from>
    <xdr:to>
      <xdr:col>23</xdr:col>
      <xdr:colOff>10583</xdr:colOff>
      <xdr:row>119</xdr:row>
      <xdr:rowOff>112184</xdr:rowOff>
    </xdr:to>
    <xdr:graphicFrame macro="">
      <xdr:nvGraphicFramePr>
        <xdr:cNvPr id="20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5</xdr:row>
      <xdr:rowOff>38100</xdr:rowOff>
    </xdr:from>
    <xdr:to>
      <xdr:col>0</xdr:col>
      <xdr:colOff>219075</xdr:colOff>
      <xdr:row>5</xdr:row>
      <xdr:rowOff>171450</xdr:rowOff>
    </xdr:to>
    <xdr:sp macro="" textlink="">
      <xdr:nvSpPr>
        <xdr:cNvPr id="2" name="Rectangle 1"/>
        <xdr:cNvSpPr/>
      </xdr:nvSpPr>
      <xdr:spPr>
        <a:xfrm>
          <a:off x="76200" y="1047750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0</xdr:col>
      <xdr:colOff>76200</xdr:colOff>
      <xdr:row>10</xdr:row>
      <xdr:rowOff>39687</xdr:rowOff>
    </xdr:from>
    <xdr:to>
      <xdr:col>0</xdr:col>
      <xdr:colOff>219075</xdr:colOff>
      <xdr:row>10</xdr:row>
      <xdr:rowOff>173037</xdr:rowOff>
    </xdr:to>
    <xdr:sp macro="" textlink="">
      <xdr:nvSpPr>
        <xdr:cNvPr id="3" name="Rectangle 2"/>
        <xdr:cNvSpPr/>
      </xdr:nvSpPr>
      <xdr:spPr>
        <a:xfrm>
          <a:off x="76200" y="2049462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0</xdr:col>
      <xdr:colOff>76200</xdr:colOff>
      <xdr:row>14</xdr:row>
      <xdr:rowOff>39687</xdr:rowOff>
    </xdr:from>
    <xdr:to>
      <xdr:col>0</xdr:col>
      <xdr:colOff>219075</xdr:colOff>
      <xdr:row>14</xdr:row>
      <xdr:rowOff>173037</xdr:rowOff>
    </xdr:to>
    <xdr:sp macro="" textlink="">
      <xdr:nvSpPr>
        <xdr:cNvPr id="4" name="Rectangle 3"/>
        <xdr:cNvSpPr/>
      </xdr:nvSpPr>
      <xdr:spPr>
        <a:xfrm>
          <a:off x="76200" y="2849562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0</xdr:col>
      <xdr:colOff>76200</xdr:colOff>
      <xdr:row>47</xdr:row>
      <xdr:rowOff>38100</xdr:rowOff>
    </xdr:from>
    <xdr:to>
      <xdr:col>0</xdr:col>
      <xdr:colOff>219075</xdr:colOff>
      <xdr:row>47</xdr:row>
      <xdr:rowOff>171450</xdr:rowOff>
    </xdr:to>
    <xdr:sp macro="" textlink="">
      <xdr:nvSpPr>
        <xdr:cNvPr id="5" name="Rectangle 4"/>
        <xdr:cNvSpPr/>
      </xdr:nvSpPr>
      <xdr:spPr>
        <a:xfrm>
          <a:off x="76200" y="9134475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0</xdr:col>
      <xdr:colOff>76200</xdr:colOff>
      <xdr:row>52</xdr:row>
      <xdr:rowOff>39687</xdr:rowOff>
    </xdr:from>
    <xdr:to>
      <xdr:col>0</xdr:col>
      <xdr:colOff>219075</xdr:colOff>
      <xdr:row>52</xdr:row>
      <xdr:rowOff>173037</xdr:rowOff>
    </xdr:to>
    <xdr:sp macro="" textlink="">
      <xdr:nvSpPr>
        <xdr:cNvPr id="6" name="Rectangle 5"/>
        <xdr:cNvSpPr/>
      </xdr:nvSpPr>
      <xdr:spPr>
        <a:xfrm>
          <a:off x="76200" y="10136187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0</xdr:col>
      <xdr:colOff>76200</xdr:colOff>
      <xdr:row>56</xdr:row>
      <xdr:rowOff>39687</xdr:rowOff>
    </xdr:from>
    <xdr:to>
      <xdr:col>0</xdr:col>
      <xdr:colOff>219075</xdr:colOff>
      <xdr:row>56</xdr:row>
      <xdr:rowOff>173037</xdr:rowOff>
    </xdr:to>
    <xdr:sp macro="" textlink="">
      <xdr:nvSpPr>
        <xdr:cNvPr id="7" name="Rectangle 6"/>
        <xdr:cNvSpPr/>
      </xdr:nvSpPr>
      <xdr:spPr>
        <a:xfrm>
          <a:off x="76200" y="10936287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0</xdr:col>
      <xdr:colOff>76200</xdr:colOff>
      <xdr:row>17</xdr:row>
      <xdr:rowOff>39687</xdr:rowOff>
    </xdr:from>
    <xdr:to>
      <xdr:col>0</xdr:col>
      <xdr:colOff>219075</xdr:colOff>
      <xdr:row>17</xdr:row>
      <xdr:rowOff>173037</xdr:rowOff>
    </xdr:to>
    <xdr:sp macro="" textlink="">
      <xdr:nvSpPr>
        <xdr:cNvPr id="8" name="Rectangle 7"/>
        <xdr:cNvSpPr/>
      </xdr:nvSpPr>
      <xdr:spPr>
        <a:xfrm>
          <a:off x="76200" y="3449637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0</xdr:col>
      <xdr:colOff>76200</xdr:colOff>
      <xdr:row>59</xdr:row>
      <xdr:rowOff>39687</xdr:rowOff>
    </xdr:from>
    <xdr:to>
      <xdr:col>0</xdr:col>
      <xdr:colOff>219075</xdr:colOff>
      <xdr:row>59</xdr:row>
      <xdr:rowOff>173037</xdr:rowOff>
    </xdr:to>
    <xdr:sp macro="" textlink="">
      <xdr:nvSpPr>
        <xdr:cNvPr id="9" name="Rectangle 8"/>
        <xdr:cNvSpPr/>
      </xdr:nvSpPr>
      <xdr:spPr>
        <a:xfrm>
          <a:off x="76200" y="11536362"/>
          <a:ext cx="142875" cy="133350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ms-MY" sz="1100"/>
        </a:p>
      </xdr:txBody>
    </xdr:sp>
    <xdr:clientData/>
  </xdr:twoCellAnchor>
  <xdr:twoCellAnchor>
    <xdr:from>
      <xdr:col>2</xdr:col>
      <xdr:colOff>119062</xdr:colOff>
      <xdr:row>6</xdr:row>
      <xdr:rowOff>121920</xdr:rowOff>
    </xdr:from>
    <xdr:to>
      <xdr:col>3</xdr:col>
      <xdr:colOff>6668</xdr:colOff>
      <xdr:row>6</xdr:row>
      <xdr:rowOff>130969</xdr:rowOff>
    </xdr:to>
    <xdr:cxnSp macro="">
      <xdr:nvCxnSpPr>
        <xdr:cNvPr id="10" name="Straight Connector 9"/>
        <xdr:cNvCxnSpPr/>
      </xdr:nvCxnSpPr>
      <xdr:spPr>
        <a:xfrm flipV="1">
          <a:off x="2667000" y="1348264"/>
          <a:ext cx="863918" cy="9049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83343</xdr:colOff>
      <xdr:row>11</xdr:row>
      <xdr:rowOff>119063</xdr:rowOff>
    </xdr:from>
    <xdr:to>
      <xdr:col>3</xdr:col>
      <xdr:colOff>6668</xdr:colOff>
      <xdr:row>11</xdr:row>
      <xdr:rowOff>121920</xdr:rowOff>
    </xdr:to>
    <xdr:cxnSp macro="">
      <xdr:nvCxnSpPr>
        <xdr:cNvPr id="11" name="Straight Connector 10"/>
        <xdr:cNvCxnSpPr/>
      </xdr:nvCxnSpPr>
      <xdr:spPr>
        <a:xfrm>
          <a:off x="2631281" y="2357438"/>
          <a:ext cx="899637" cy="285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139065</xdr:colOff>
      <xdr:row>53</xdr:row>
      <xdr:rowOff>120015</xdr:rowOff>
    </xdr:from>
    <xdr:to>
      <xdr:col>2</xdr:col>
      <xdr:colOff>933450</xdr:colOff>
      <xdr:row>53</xdr:row>
      <xdr:rowOff>120015</xdr:rowOff>
    </xdr:to>
    <xdr:cxnSp macro="">
      <xdr:nvCxnSpPr>
        <xdr:cNvPr id="12" name="Straight Connector 11"/>
        <xdr:cNvCxnSpPr/>
      </xdr:nvCxnSpPr>
      <xdr:spPr>
        <a:xfrm>
          <a:off x="2691765" y="10416540"/>
          <a:ext cx="79438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95250</xdr:colOff>
      <xdr:row>15</xdr:row>
      <xdr:rowOff>107156</xdr:rowOff>
    </xdr:from>
    <xdr:to>
      <xdr:col>3</xdr:col>
      <xdr:colOff>2858</xdr:colOff>
      <xdr:row>15</xdr:row>
      <xdr:rowOff>121920</xdr:rowOff>
    </xdr:to>
    <xdr:cxnSp macro="">
      <xdr:nvCxnSpPr>
        <xdr:cNvPr id="13" name="Straight Connector 12"/>
        <xdr:cNvCxnSpPr/>
      </xdr:nvCxnSpPr>
      <xdr:spPr>
        <a:xfrm>
          <a:off x="2643188" y="3155156"/>
          <a:ext cx="883920" cy="1476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123825</xdr:colOff>
      <xdr:row>48</xdr:row>
      <xdr:rowOff>123825</xdr:rowOff>
    </xdr:from>
    <xdr:to>
      <xdr:col>2</xdr:col>
      <xdr:colOff>920115</xdr:colOff>
      <xdr:row>48</xdr:row>
      <xdr:rowOff>123825</xdr:rowOff>
    </xdr:to>
    <xdr:cxnSp macro="">
      <xdr:nvCxnSpPr>
        <xdr:cNvPr id="14" name="Straight Connector 13"/>
        <xdr:cNvCxnSpPr/>
      </xdr:nvCxnSpPr>
      <xdr:spPr>
        <a:xfrm>
          <a:off x="2676525" y="9420225"/>
          <a:ext cx="79629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139065</xdr:colOff>
      <xdr:row>53</xdr:row>
      <xdr:rowOff>120015</xdr:rowOff>
    </xdr:from>
    <xdr:to>
      <xdr:col>2</xdr:col>
      <xdr:colOff>935355</xdr:colOff>
      <xdr:row>53</xdr:row>
      <xdr:rowOff>120015</xdr:rowOff>
    </xdr:to>
    <xdr:cxnSp macro="">
      <xdr:nvCxnSpPr>
        <xdr:cNvPr id="15" name="Straight Connector 14"/>
        <xdr:cNvCxnSpPr/>
      </xdr:nvCxnSpPr>
      <xdr:spPr>
        <a:xfrm>
          <a:off x="2691765" y="10416540"/>
          <a:ext cx="79629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158115</xdr:colOff>
      <xdr:row>57</xdr:row>
      <xdr:rowOff>110490</xdr:rowOff>
    </xdr:from>
    <xdr:to>
      <xdr:col>2</xdr:col>
      <xdr:colOff>954405</xdr:colOff>
      <xdr:row>57</xdr:row>
      <xdr:rowOff>110490</xdr:rowOff>
    </xdr:to>
    <xdr:cxnSp macro="">
      <xdr:nvCxnSpPr>
        <xdr:cNvPr id="16" name="Straight Connector 15"/>
        <xdr:cNvCxnSpPr/>
      </xdr:nvCxnSpPr>
      <xdr:spPr>
        <a:xfrm>
          <a:off x="2710815" y="11207115"/>
          <a:ext cx="79629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281940</xdr:colOff>
      <xdr:row>48</xdr:row>
      <xdr:rowOff>121920</xdr:rowOff>
    </xdr:from>
    <xdr:to>
      <xdr:col>2</xdr:col>
      <xdr:colOff>1078230</xdr:colOff>
      <xdr:row>48</xdr:row>
      <xdr:rowOff>121920</xdr:rowOff>
    </xdr:to>
    <xdr:cxnSp macro="">
      <xdr:nvCxnSpPr>
        <xdr:cNvPr id="17" name="Straight Connector 16"/>
        <xdr:cNvCxnSpPr/>
      </xdr:nvCxnSpPr>
      <xdr:spPr>
        <a:xfrm>
          <a:off x="2834640" y="9418320"/>
          <a:ext cx="70104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300990</xdr:colOff>
      <xdr:row>53</xdr:row>
      <xdr:rowOff>121920</xdr:rowOff>
    </xdr:from>
    <xdr:to>
      <xdr:col>2</xdr:col>
      <xdr:colOff>1097280</xdr:colOff>
      <xdr:row>53</xdr:row>
      <xdr:rowOff>121920</xdr:rowOff>
    </xdr:to>
    <xdr:cxnSp macro="">
      <xdr:nvCxnSpPr>
        <xdr:cNvPr id="18" name="Straight Connector 17"/>
        <xdr:cNvCxnSpPr/>
      </xdr:nvCxnSpPr>
      <xdr:spPr>
        <a:xfrm>
          <a:off x="2853690" y="10418445"/>
          <a:ext cx="68199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119062</xdr:colOff>
      <xdr:row>48</xdr:row>
      <xdr:rowOff>121920</xdr:rowOff>
    </xdr:from>
    <xdr:to>
      <xdr:col>3</xdr:col>
      <xdr:colOff>6668</xdr:colOff>
      <xdr:row>48</xdr:row>
      <xdr:rowOff>130969</xdr:rowOff>
    </xdr:to>
    <xdr:cxnSp macro="">
      <xdr:nvCxnSpPr>
        <xdr:cNvPr id="22" name="Straight Connector 21"/>
        <xdr:cNvCxnSpPr/>
      </xdr:nvCxnSpPr>
      <xdr:spPr>
        <a:xfrm flipV="1">
          <a:off x="2667000" y="1348264"/>
          <a:ext cx="863918" cy="9049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83343</xdr:colOff>
      <xdr:row>53</xdr:row>
      <xdr:rowOff>119063</xdr:rowOff>
    </xdr:from>
    <xdr:to>
      <xdr:col>3</xdr:col>
      <xdr:colOff>6668</xdr:colOff>
      <xdr:row>53</xdr:row>
      <xdr:rowOff>121920</xdr:rowOff>
    </xdr:to>
    <xdr:cxnSp macro="">
      <xdr:nvCxnSpPr>
        <xdr:cNvPr id="23" name="Straight Connector 22"/>
        <xdr:cNvCxnSpPr/>
      </xdr:nvCxnSpPr>
      <xdr:spPr>
        <a:xfrm>
          <a:off x="2631281" y="2357438"/>
          <a:ext cx="899637" cy="285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95250</xdr:colOff>
      <xdr:row>57</xdr:row>
      <xdr:rowOff>107156</xdr:rowOff>
    </xdr:from>
    <xdr:to>
      <xdr:col>3</xdr:col>
      <xdr:colOff>2858</xdr:colOff>
      <xdr:row>57</xdr:row>
      <xdr:rowOff>121920</xdr:rowOff>
    </xdr:to>
    <xdr:cxnSp macro="">
      <xdr:nvCxnSpPr>
        <xdr:cNvPr id="24" name="Straight Connector 23"/>
        <xdr:cNvCxnSpPr/>
      </xdr:nvCxnSpPr>
      <xdr:spPr>
        <a:xfrm>
          <a:off x="2643188" y="3155156"/>
          <a:ext cx="883920" cy="1476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Q40"/>
  <sheetViews>
    <sheetView tabSelected="1" zoomScale="80" zoomScaleNormal="80" workbookViewId="0">
      <selection activeCell="F2" sqref="F2"/>
    </sheetView>
  </sheetViews>
  <sheetFormatPr defaultRowHeight="15.75" x14ac:dyDescent="0.25"/>
  <cols>
    <col min="1" max="2" width="4.7109375" style="1" customWidth="1"/>
    <col min="3" max="3" width="37.42578125" style="1" customWidth="1"/>
    <col min="4" max="4" width="16.5703125" style="1" customWidth="1"/>
    <col min="5" max="5" width="17.5703125" style="1" customWidth="1"/>
    <col min="6" max="6" width="15.7109375" style="1" customWidth="1"/>
    <col min="7" max="7" width="1.5703125" style="1" customWidth="1"/>
    <col min="8" max="8" width="4.42578125" style="1" customWidth="1"/>
    <col min="9" max="9" width="35.28515625" style="1" customWidth="1"/>
    <col min="10" max="10" width="16.7109375" style="1" customWidth="1"/>
    <col min="11" max="11" width="19" style="1" customWidth="1"/>
    <col min="12" max="12" width="17" style="251" customWidth="1"/>
    <col min="13" max="13" width="16.7109375" style="251" customWidth="1"/>
    <col min="14" max="14" width="32.140625" style="251" customWidth="1"/>
    <col min="15" max="15" width="33.5703125" style="251" customWidth="1"/>
    <col min="16" max="16" width="9.7109375" style="251" bestFit="1" customWidth="1"/>
    <col min="17" max="17" width="16.85546875" style="1" bestFit="1" customWidth="1"/>
    <col min="18" max="16384" width="9.140625" style="1"/>
  </cols>
  <sheetData>
    <row r="1" spans="2:17" x14ac:dyDescent="0.25">
      <c r="C1" s="35" t="s">
        <v>15</v>
      </c>
    </row>
    <row r="3" spans="2:17" x14ac:dyDescent="0.25">
      <c r="B3" s="10"/>
      <c r="C3" s="33" t="s">
        <v>115</v>
      </c>
      <c r="D3" s="11"/>
      <c r="E3" s="10"/>
      <c r="F3" s="10"/>
      <c r="I3" s="33" t="s">
        <v>118</v>
      </c>
      <c r="N3" s="252"/>
      <c r="O3" s="253"/>
      <c r="P3" s="252"/>
      <c r="Q3" s="10"/>
    </row>
    <row r="4" spans="2:17" x14ac:dyDescent="0.25">
      <c r="D4" s="277" t="s">
        <v>138</v>
      </c>
      <c r="E4" s="279" t="s">
        <v>139</v>
      </c>
      <c r="J4" s="279" t="s">
        <v>138</v>
      </c>
      <c r="K4" s="279" t="s">
        <v>139</v>
      </c>
      <c r="L4" s="254"/>
      <c r="M4" s="254"/>
      <c r="N4" s="254" t="s">
        <v>117</v>
      </c>
      <c r="O4" s="254" t="s">
        <v>39</v>
      </c>
      <c r="P4" s="255"/>
      <c r="Q4" s="18"/>
    </row>
    <row r="5" spans="2:17" x14ac:dyDescent="0.25">
      <c r="B5" s="258"/>
      <c r="C5" s="259" t="s">
        <v>5</v>
      </c>
      <c r="D5" s="260" t="s">
        <v>1</v>
      </c>
      <c r="E5" s="260" t="s">
        <v>1</v>
      </c>
      <c r="F5" s="260" t="s">
        <v>124</v>
      </c>
      <c r="G5" s="2"/>
      <c r="H5" s="261"/>
      <c r="I5" s="262" t="s">
        <v>5</v>
      </c>
      <c r="J5" s="261" t="s">
        <v>125</v>
      </c>
      <c r="K5" s="261" t="s">
        <v>125</v>
      </c>
      <c r="L5" s="261" t="s">
        <v>126</v>
      </c>
      <c r="M5" s="423"/>
    </row>
    <row r="6" spans="2:17" s="9" customFormat="1" x14ac:dyDescent="0.25">
      <c r="B6" s="27"/>
      <c r="C6" s="285" t="s">
        <v>110</v>
      </c>
      <c r="D6" s="250">
        <v>3180</v>
      </c>
      <c r="E6" s="278">
        <f>D6*0.9</f>
        <v>2862</v>
      </c>
      <c r="F6" s="281">
        <f>D6-E6</f>
        <v>318</v>
      </c>
      <c r="H6" s="27"/>
      <c r="I6" s="285" t="s">
        <v>110</v>
      </c>
      <c r="J6" s="250">
        <v>4585</v>
      </c>
      <c r="K6" s="278">
        <f>0.9*J6</f>
        <v>4126.5</v>
      </c>
      <c r="L6" s="281">
        <f>J6-K6</f>
        <v>458.5</v>
      </c>
      <c r="M6" s="410"/>
      <c r="N6" s="436" t="s">
        <v>140</v>
      </c>
      <c r="O6" s="419" t="s">
        <v>160</v>
      </c>
      <c r="P6" s="256"/>
    </row>
    <row r="7" spans="2:17" x14ac:dyDescent="0.25">
      <c r="B7" s="17"/>
      <c r="C7" s="417" t="s">
        <v>130</v>
      </c>
      <c r="D7" s="32" t="s">
        <v>143</v>
      </c>
      <c r="E7" s="32" t="s">
        <v>143</v>
      </c>
      <c r="F7" s="282"/>
      <c r="H7" s="17"/>
      <c r="I7" s="252" t="s">
        <v>120</v>
      </c>
      <c r="J7" s="32" t="s">
        <v>163</v>
      </c>
      <c r="K7" s="32" t="s">
        <v>163</v>
      </c>
      <c r="L7" s="282"/>
      <c r="M7" s="411"/>
      <c r="N7" s="418" t="s">
        <v>141</v>
      </c>
      <c r="O7" s="418" t="s">
        <v>161</v>
      </c>
    </row>
    <row r="8" spans="2:17" x14ac:dyDescent="0.25">
      <c r="B8" s="17"/>
      <c r="C8" s="19" t="s">
        <v>9</v>
      </c>
      <c r="D8" s="32" t="s">
        <v>144</v>
      </c>
      <c r="E8" s="32" t="s">
        <v>145</v>
      </c>
      <c r="F8" s="282"/>
      <c r="H8" s="17"/>
      <c r="I8" s="19" t="s">
        <v>9</v>
      </c>
      <c r="J8" s="32" t="s">
        <v>164</v>
      </c>
      <c r="K8" s="32" t="s">
        <v>165</v>
      </c>
      <c r="L8" s="282"/>
      <c r="M8" s="411"/>
      <c r="N8" s="275" t="s">
        <v>142</v>
      </c>
      <c r="O8" s="276" t="s">
        <v>162</v>
      </c>
    </row>
    <row r="9" spans="2:17" x14ac:dyDescent="0.25">
      <c r="B9" s="17"/>
      <c r="C9" s="19" t="s">
        <v>26</v>
      </c>
      <c r="D9" s="26"/>
      <c r="E9" s="17"/>
      <c r="F9" s="282"/>
      <c r="H9" s="17"/>
      <c r="I9" s="19" t="s">
        <v>25</v>
      </c>
      <c r="J9" s="32"/>
      <c r="K9" s="17"/>
      <c r="L9" s="282"/>
      <c r="M9" s="411"/>
    </row>
    <row r="10" spans="2:17" x14ac:dyDescent="0.25">
      <c r="B10" s="5"/>
      <c r="C10" s="245" t="s">
        <v>111</v>
      </c>
      <c r="D10" s="26"/>
      <c r="E10" s="17"/>
      <c r="F10" s="282"/>
      <c r="H10" s="5"/>
      <c r="I10" s="252" t="s">
        <v>121</v>
      </c>
      <c r="J10" s="26"/>
      <c r="K10" s="17"/>
      <c r="L10" s="282"/>
      <c r="M10" s="411"/>
    </row>
    <row r="11" spans="2:17" x14ac:dyDescent="0.25">
      <c r="B11" s="12"/>
      <c r="C11" s="286" t="s">
        <v>112</v>
      </c>
      <c r="D11" s="257">
        <v>3019</v>
      </c>
      <c r="E11" s="280">
        <f>D11*0.9</f>
        <v>2717.1</v>
      </c>
      <c r="F11" s="281">
        <f>D11-E11</f>
        <v>301.90000000000009</v>
      </c>
      <c r="H11" s="12"/>
      <c r="I11" s="286" t="s">
        <v>112</v>
      </c>
      <c r="J11" s="257">
        <v>4204</v>
      </c>
      <c r="K11" s="280">
        <f>J11*0.9</f>
        <v>3783.6</v>
      </c>
      <c r="L11" s="281">
        <f>J11-K11</f>
        <v>420.40000000000009</v>
      </c>
      <c r="M11" s="410"/>
      <c r="N11" s="419" t="s">
        <v>146</v>
      </c>
      <c r="O11" s="419" t="s">
        <v>166</v>
      </c>
    </row>
    <row r="12" spans="2:17" x14ac:dyDescent="0.25">
      <c r="B12" s="17"/>
      <c r="C12" s="417" t="s">
        <v>130</v>
      </c>
      <c r="D12" s="32" t="s">
        <v>149</v>
      </c>
      <c r="E12" s="32" t="s">
        <v>149</v>
      </c>
      <c r="F12" s="282"/>
      <c r="H12" s="17"/>
      <c r="I12" s="252" t="s">
        <v>120</v>
      </c>
      <c r="J12" s="32" t="s">
        <v>169</v>
      </c>
      <c r="K12" s="32" t="s">
        <v>169</v>
      </c>
      <c r="L12" s="282"/>
      <c r="M12" s="411"/>
      <c r="N12" s="420" t="s">
        <v>147</v>
      </c>
      <c r="O12" s="418" t="s">
        <v>167</v>
      </c>
    </row>
    <row r="13" spans="2:17" x14ac:dyDescent="0.25">
      <c r="B13" s="17"/>
      <c r="C13" s="19" t="s">
        <v>9</v>
      </c>
      <c r="D13" s="32" t="s">
        <v>150</v>
      </c>
      <c r="E13" s="32" t="s">
        <v>151</v>
      </c>
      <c r="F13" s="282"/>
      <c r="H13" s="17"/>
      <c r="I13" s="19" t="s">
        <v>9</v>
      </c>
      <c r="J13" s="32" t="s">
        <v>170</v>
      </c>
      <c r="K13" s="32" t="s">
        <v>171</v>
      </c>
      <c r="L13" s="282"/>
      <c r="M13" s="411"/>
      <c r="N13" s="275" t="s">
        <v>148</v>
      </c>
      <c r="O13" s="276" t="s">
        <v>168</v>
      </c>
    </row>
    <row r="14" spans="2:17" x14ac:dyDescent="0.25">
      <c r="B14" s="5"/>
      <c r="C14" s="20" t="s">
        <v>26</v>
      </c>
      <c r="D14" s="7"/>
      <c r="E14" s="5"/>
      <c r="F14" s="283"/>
      <c r="H14" s="5"/>
      <c r="I14" s="20" t="s">
        <v>25</v>
      </c>
      <c r="J14" s="7"/>
      <c r="K14" s="5"/>
      <c r="L14" s="283"/>
      <c r="M14" s="411"/>
    </row>
    <row r="15" spans="2:17" x14ac:dyDescent="0.25">
      <c r="B15" s="12"/>
      <c r="C15" s="286" t="s">
        <v>113</v>
      </c>
      <c r="D15" s="257">
        <v>2819</v>
      </c>
      <c r="E15" s="280">
        <f>D15*0.9</f>
        <v>2537.1</v>
      </c>
      <c r="F15" s="281">
        <f>D15-E15</f>
        <v>281.90000000000009</v>
      </c>
      <c r="H15" s="12"/>
      <c r="I15" s="286" t="s">
        <v>113</v>
      </c>
      <c r="J15" s="257">
        <v>3874</v>
      </c>
      <c r="K15" s="280">
        <f>J15*0.9</f>
        <v>3486.6</v>
      </c>
      <c r="L15" s="281">
        <f>J15-K15</f>
        <v>387.40000000000009</v>
      </c>
      <c r="M15" s="410"/>
      <c r="N15" s="419" t="s">
        <v>152</v>
      </c>
      <c r="O15" s="419" t="s">
        <v>172</v>
      </c>
    </row>
    <row r="16" spans="2:17" x14ac:dyDescent="0.25">
      <c r="B16" s="17"/>
      <c r="C16" s="417" t="s">
        <v>130</v>
      </c>
      <c r="D16" s="32" t="s">
        <v>155</v>
      </c>
      <c r="E16" s="32" t="s">
        <v>155</v>
      </c>
      <c r="F16" s="282"/>
      <c r="H16" s="17"/>
      <c r="I16" s="252" t="s">
        <v>120</v>
      </c>
      <c r="J16" s="32" t="s">
        <v>175</v>
      </c>
      <c r="K16" s="32" t="s">
        <v>175</v>
      </c>
      <c r="L16" s="282"/>
      <c r="M16" s="411"/>
      <c r="N16" s="421" t="s">
        <v>154</v>
      </c>
      <c r="O16" s="418" t="s">
        <v>173</v>
      </c>
    </row>
    <row r="17" spans="2:15" x14ac:dyDescent="0.25">
      <c r="B17" s="5"/>
      <c r="C17" s="20" t="s">
        <v>26</v>
      </c>
      <c r="D17" s="32" t="s">
        <v>150</v>
      </c>
      <c r="E17" s="32" t="s">
        <v>122</v>
      </c>
      <c r="F17" s="283"/>
      <c r="H17" s="5"/>
      <c r="I17" s="20" t="s">
        <v>25</v>
      </c>
      <c r="J17" s="32" t="s">
        <v>170</v>
      </c>
      <c r="K17" s="32" t="s">
        <v>176</v>
      </c>
      <c r="L17" s="283"/>
      <c r="M17" s="411"/>
      <c r="N17" s="275" t="s">
        <v>153</v>
      </c>
      <c r="O17" s="276" t="s">
        <v>174</v>
      </c>
    </row>
    <row r="18" spans="2:15" x14ac:dyDescent="0.25">
      <c r="B18" s="12"/>
      <c r="C18" s="286" t="s">
        <v>114</v>
      </c>
      <c r="D18" s="257">
        <v>2643</v>
      </c>
      <c r="E18" s="280">
        <f>0.9*D18</f>
        <v>2378.7000000000003</v>
      </c>
      <c r="F18" s="281">
        <f>D18-E18</f>
        <v>264.29999999999973</v>
      </c>
      <c r="H18" s="12"/>
      <c r="I18" s="286" t="s">
        <v>114</v>
      </c>
      <c r="J18" s="257">
        <v>3558</v>
      </c>
      <c r="K18" s="280">
        <f>J18*0.9</f>
        <v>3202.2000000000003</v>
      </c>
      <c r="L18" s="281">
        <f>J18-K18</f>
        <v>355.79999999999973</v>
      </c>
      <c r="M18" s="410"/>
      <c r="N18" s="422" t="s">
        <v>156</v>
      </c>
      <c r="O18" s="422" t="s">
        <v>177</v>
      </c>
    </row>
    <row r="19" spans="2:15" x14ac:dyDescent="0.25">
      <c r="B19" s="17"/>
      <c r="C19" s="417" t="s">
        <v>130</v>
      </c>
      <c r="D19" s="32" t="s">
        <v>158</v>
      </c>
      <c r="E19" s="32" t="s">
        <v>158</v>
      </c>
      <c r="F19" s="284"/>
      <c r="H19" s="17"/>
      <c r="I19" s="252" t="s">
        <v>120</v>
      </c>
      <c r="J19" s="32" t="s">
        <v>143</v>
      </c>
      <c r="K19" s="32" t="s">
        <v>143</v>
      </c>
      <c r="L19" s="201"/>
      <c r="M19" s="412"/>
      <c r="N19" s="275" t="s">
        <v>157</v>
      </c>
      <c r="O19" s="276" t="s">
        <v>178</v>
      </c>
    </row>
    <row r="20" spans="2:15" x14ac:dyDescent="0.25">
      <c r="B20" s="5"/>
      <c r="C20" s="20"/>
      <c r="D20" s="36" t="s">
        <v>159</v>
      </c>
      <c r="E20" s="36" t="s">
        <v>123</v>
      </c>
      <c r="F20" s="5"/>
      <c r="H20" s="5"/>
      <c r="I20" s="20"/>
      <c r="J20" s="36" t="s">
        <v>179</v>
      </c>
      <c r="K20" s="36" t="s">
        <v>180</v>
      </c>
      <c r="L20" s="5"/>
      <c r="M20" s="10"/>
    </row>
    <row r="21" spans="2:15" x14ac:dyDescent="0.25">
      <c r="B21" s="10"/>
      <c r="C21" s="19"/>
      <c r="D21" s="11"/>
      <c r="E21" s="10"/>
      <c r="F21" s="10"/>
    </row>
    <row r="22" spans="2:15" x14ac:dyDescent="0.25">
      <c r="C22" s="35" t="s">
        <v>37</v>
      </c>
    </row>
    <row r="24" spans="2:15" x14ac:dyDescent="0.25">
      <c r="C24" s="35" t="s">
        <v>137</v>
      </c>
      <c r="D24" s="35"/>
      <c r="E24" s="35"/>
      <c r="F24" s="35"/>
      <c r="G24" s="35"/>
      <c r="H24" s="35"/>
      <c r="I24" s="35" t="s">
        <v>136</v>
      </c>
      <c r="L24" s="1"/>
      <c r="M24" s="1"/>
    </row>
    <row r="25" spans="2:15" x14ac:dyDescent="0.25">
      <c r="L25" s="1"/>
      <c r="M25" s="1"/>
    </row>
    <row r="26" spans="2:15" x14ac:dyDescent="0.25">
      <c r="B26" s="8"/>
      <c r="C26" s="424" t="s">
        <v>5</v>
      </c>
      <c r="D26" s="424" t="s">
        <v>3</v>
      </c>
      <c r="E26" s="24" t="s">
        <v>119</v>
      </c>
      <c r="F26" s="24" t="s">
        <v>4</v>
      </c>
      <c r="G26" s="2"/>
      <c r="H26" s="8"/>
      <c r="I26" s="424" t="s">
        <v>5</v>
      </c>
      <c r="J26" s="424" t="s">
        <v>3</v>
      </c>
      <c r="K26" s="24" t="s">
        <v>119</v>
      </c>
      <c r="L26" s="24" t="s">
        <v>4</v>
      </c>
      <c r="M26" s="413"/>
    </row>
    <row r="27" spans="2:15" x14ac:dyDescent="0.25">
      <c r="B27" s="5"/>
      <c r="C27" s="425" t="s">
        <v>0</v>
      </c>
      <c r="D27" s="426">
        <v>200</v>
      </c>
      <c r="E27" s="246">
        <v>1</v>
      </c>
      <c r="F27" s="263">
        <f>D27*E27</f>
        <v>200</v>
      </c>
      <c r="H27" s="5"/>
      <c r="I27" s="425" t="s">
        <v>0</v>
      </c>
      <c r="J27" s="426">
        <v>350</v>
      </c>
      <c r="K27" s="3">
        <v>1</v>
      </c>
      <c r="L27" s="268">
        <f>J27*K27</f>
        <v>350</v>
      </c>
      <c r="M27" s="414"/>
    </row>
    <row r="28" spans="2:15" x14ac:dyDescent="0.25">
      <c r="B28" s="3"/>
      <c r="C28" s="425" t="s">
        <v>16</v>
      </c>
      <c r="D28" s="427">
        <v>500</v>
      </c>
      <c r="E28" s="246">
        <v>1</v>
      </c>
      <c r="F28" s="263">
        <f>E28*D28</f>
        <v>500</v>
      </c>
      <c r="H28" s="3"/>
      <c r="I28" s="425" t="s">
        <v>16</v>
      </c>
      <c r="J28" s="427">
        <v>500</v>
      </c>
      <c r="K28" s="3">
        <v>1</v>
      </c>
      <c r="L28" s="268">
        <f>K28*J28</f>
        <v>500</v>
      </c>
      <c r="M28" s="414"/>
    </row>
    <row r="29" spans="2:15" x14ac:dyDescent="0.25">
      <c r="B29" s="15"/>
      <c r="C29" s="428" t="s">
        <v>44</v>
      </c>
      <c r="D29" s="429">
        <v>350</v>
      </c>
      <c r="E29" s="246">
        <v>1</v>
      </c>
      <c r="F29" s="263">
        <f t="shared" ref="F29:F32" si="0">E29*D29</f>
        <v>350</v>
      </c>
      <c r="H29" s="15"/>
      <c r="I29" s="428" t="s">
        <v>46</v>
      </c>
      <c r="J29" s="429">
        <v>550</v>
      </c>
      <c r="K29" s="3">
        <v>1</v>
      </c>
      <c r="L29" s="268">
        <f t="shared" ref="L29:L32" si="1">K29*J29</f>
        <v>550</v>
      </c>
      <c r="M29" s="414"/>
    </row>
    <row r="30" spans="2:15" x14ac:dyDescent="0.25">
      <c r="B30" s="12"/>
      <c r="C30" s="428" t="s">
        <v>7</v>
      </c>
      <c r="D30" s="429">
        <v>180</v>
      </c>
      <c r="E30" s="246">
        <v>1</v>
      </c>
      <c r="F30" s="263">
        <f t="shared" si="0"/>
        <v>180</v>
      </c>
      <c r="H30" s="12"/>
      <c r="I30" s="428" t="s">
        <v>7</v>
      </c>
      <c r="J30" s="429">
        <v>280</v>
      </c>
      <c r="K30" s="3">
        <v>1</v>
      </c>
      <c r="L30" s="268">
        <f t="shared" si="1"/>
        <v>280</v>
      </c>
      <c r="M30" s="414"/>
    </row>
    <row r="31" spans="2:15" x14ac:dyDescent="0.25">
      <c r="B31" s="15"/>
      <c r="C31" s="428" t="s">
        <v>17</v>
      </c>
      <c r="D31" s="430">
        <v>50</v>
      </c>
      <c r="E31" s="246">
        <v>1</v>
      </c>
      <c r="F31" s="263">
        <f t="shared" si="0"/>
        <v>50</v>
      </c>
      <c r="H31" s="15"/>
      <c r="I31" s="428" t="s">
        <v>17</v>
      </c>
      <c r="J31" s="430">
        <v>50</v>
      </c>
      <c r="K31" s="3">
        <v>1</v>
      </c>
      <c r="L31" s="268">
        <f t="shared" si="1"/>
        <v>50</v>
      </c>
      <c r="M31" s="414"/>
    </row>
    <row r="32" spans="2:15" x14ac:dyDescent="0.25">
      <c r="B32" s="15"/>
      <c r="C32" s="431" t="s">
        <v>116</v>
      </c>
      <c r="D32" s="432">
        <v>450</v>
      </c>
      <c r="E32" s="247">
        <v>1</v>
      </c>
      <c r="F32" s="271">
        <f t="shared" si="0"/>
        <v>450</v>
      </c>
      <c r="G32" s="2"/>
      <c r="H32" s="23"/>
      <c r="I32" s="431" t="s">
        <v>116</v>
      </c>
      <c r="J32" s="432">
        <v>750</v>
      </c>
      <c r="K32" s="13">
        <v>1</v>
      </c>
      <c r="L32" s="270">
        <f t="shared" si="1"/>
        <v>750</v>
      </c>
      <c r="M32" s="414"/>
    </row>
    <row r="33" spans="2:16" x14ac:dyDescent="0.25">
      <c r="B33" s="16"/>
      <c r="C33" s="433" t="s">
        <v>22</v>
      </c>
      <c r="D33" s="434"/>
      <c r="E33" s="248"/>
      <c r="F33" s="264"/>
      <c r="G33" s="2"/>
      <c r="H33" s="21"/>
      <c r="I33" s="433" t="s">
        <v>22</v>
      </c>
      <c r="J33" s="434"/>
      <c r="K33" s="22"/>
      <c r="L33" s="22"/>
      <c r="M33" s="19"/>
    </row>
    <row r="34" spans="2:16" x14ac:dyDescent="0.25">
      <c r="B34" s="17"/>
      <c r="C34" s="433" t="s">
        <v>18</v>
      </c>
      <c r="D34" s="434"/>
      <c r="E34" s="248"/>
      <c r="F34" s="264"/>
      <c r="G34" s="2"/>
      <c r="H34" s="22"/>
      <c r="I34" s="433" t="s">
        <v>18</v>
      </c>
      <c r="J34" s="434"/>
      <c r="K34" s="22"/>
      <c r="L34" s="22"/>
      <c r="M34" s="19"/>
    </row>
    <row r="35" spans="2:16" x14ac:dyDescent="0.25">
      <c r="B35" s="17"/>
      <c r="C35" s="433" t="s">
        <v>21</v>
      </c>
      <c r="D35" s="434"/>
      <c r="E35" s="248"/>
      <c r="F35" s="264"/>
      <c r="G35" s="2"/>
      <c r="H35" s="22"/>
      <c r="I35" s="433" t="s">
        <v>21</v>
      </c>
      <c r="J35" s="434"/>
      <c r="K35" s="22"/>
      <c r="L35" s="22"/>
      <c r="M35" s="19"/>
    </row>
    <row r="36" spans="2:16" s="2" customFormat="1" ht="15" x14ac:dyDescent="0.25">
      <c r="B36" s="4"/>
      <c r="C36" s="428" t="s">
        <v>23</v>
      </c>
      <c r="D36" s="429">
        <v>1050</v>
      </c>
      <c r="E36" s="249">
        <v>1</v>
      </c>
      <c r="F36" s="265">
        <f>D36*E36</f>
        <v>1050</v>
      </c>
      <c r="H36" s="4"/>
      <c r="I36" s="428" t="s">
        <v>23</v>
      </c>
      <c r="J36" s="429">
        <v>1150</v>
      </c>
      <c r="K36" s="4">
        <v>1</v>
      </c>
      <c r="L36" s="269">
        <f>J36*K36</f>
        <v>1150</v>
      </c>
      <c r="M36" s="415"/>
      <c r="N36" s="251"/>
      <c r="O36" s="251"/>
      <c r="P36" s="251"/>
    </row>
    <row r="37" spans="2:16" x14ac:dyDescent="0.25">
      <c r="B37" s="4"/>
      <c r="C37" s="428" t="s">
        <v>47</v>
      </c>
      <c r="D37" s="429">
        <v>100</v>
      </c>
      <c r="E37" s="249">
        <v>1</v>
      </c>
      <c r="F37" s="265">
        <f>D37*E37</f>
        <v>100</v>
      </c>
      <c r="G37" s="2"/>
      <c r="H37" s="4"/>
      <c r="I37" s="428" t="s">
        <v>47</v>
      </c>
      <c r="J37" s="429">
        <v>100</v>
      </c>
      <c r="K37" s="4">
        <v>1</v>
      </c>
      <c r="L37" s="269">
        <f>J37*K37</f>
        <v>100</v>
      </c>
      <c r="M37" s="415"/>
    </row>
    <row r="38" spans="2:16" ht="16.5" thickBot="1" x14ac:dyDescent="0.3">
      <c r="E38" s="122"/>
      <c r="F38" s="266"/>
      <c r="L38" s="1"/>
      <c r="M38" s="1"/>
    </row>
    <row r="39" spans="2:16" ht="16.5" thickBot="1" x14ac:dyDescent="0.3">
      <c r="C39" s="34" t="s">
        <v>24</v>
      </c>
      <c r="F39" s="267">
        <f>SUM(F27:F37)</f>
        <v>2880</v>
      </c>
      <c r="I39" s="34" t="s">
        <v>24</v>
      </c>
      <c r="L39" s="272">
        <f>SUM(L27:L37)</f>
        <v>3730</v>
      </c>
      <c r="M39" s="416"/>
    </row>
    <row r="40" spans="2:16" x14ac:dyDescent="0.25">
      <c r="L40" s="1"/>
      <c r="M40" s="1"/>
    </row>
  </sheetData>
  <pageMargins left="0.19685039370078741" right="0.19685039370078741" top="0.19685039370078741" bottom="0.19685039370078741" header="0.19685039370078741" footer="0.19685039370078741"/>
  <pageSetup paperSize="9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J104"/>
  <sheetViews>
    <sheetView view="pageBreakPreview" zoomScale="75" zoomScaleNormal="20" zoomScaleSheetLayoutView="75" workbookViewId="0">
      <selection activeCell="B1" sqref="B1"/>
    </sheetView>
  </sheetViews>
  <sheetFormatPr defaultRowHeight="15.75" x14ac:dyDescent="0.25"/>
  <cols>
    <col min="1" max="1" width="4.7109375" style="1" customWidth="1"/>
    <col min="2" max="2" width="35.85546875" style="1" customWidth="1"/>
    <col min="3" max="3" width="16.28515625" style="1" customWidth="1"/>
    <col min="4" max="4" width="10" style="1" bestFit="1" customWidth="1"/>
    <col min="5" max="5" width="13.85546875" style="1" bestFit="1" customWidth="1"/>
    <col min="6" max="6" width="10" style="1" bestFit="1" customWidth="1"/>
    <col min="7" max="7" width="16.85546875" style="1" bestFit="1" customWidth="1"/>
    <col min="8" max="8" width="9.5703125" style="1" bestFit="1" customWidth="1"/>
    <col min="9" max="9" width="10.85546875" style="1" bestFit="1" customWidth="1"/>
    <col min="10" max="10" width="16.28515625" style="1" bestFit="1" customWidth="1"/>
    <col min="11" max="11" width="8.7109375" style="1" bestFit="1" customWidth="1"/>
    <col min="12" max="12" width="16.85546875" style="1" bestFit="1" customWidth="1"/>
    <col min="13" max="13" width="4.42578125" style="1" customWidth="1"/>
    <col min="14" max="14" width="6.42578125" style="1" bestFit="1" customWidth="1"/>
    <col min="15" max="15" width="15.42578125" style="1" customWidth="1"/>
    <col min="16" max="16" width="15.7109375" style="1" customWidth="1"/>
    <col min="17" max="17" width="6.42578125" style="1" customWidth="1"/>
    <col min="18" max="18" width="15.42578125" style="1" customWidth="1"/>
    <col min="19" max="19" width="15.28515625" style="1" customWidth="1"/>
    <col min="20" max="20" width="6.42578125" style="1" bestFit="1" customWidth="1"/>
    <col min="21" max="21" width="13.28515625" style="1" customWidth="1"/>
    <col min="22" max="22" width="13.5703125" style="1" customWidth="1"/>
    <col min="23" max="23" width="15.42578125" style="1" customWidth="1"/>
    <col min="24" max="24" width="6.42578125" style="1" bestFit="1" customWidth="1"/>
    <col min="25" max="25" width="14" style="1" customWidth="1"/>
    <col min="26" max="26" width="14.5703125" style="1" bestFit="1" customWidth="1"/>
    <col min="27" max="27" width="14.42578125" style="1" bestFit="1" customWidth="1"/>
    <col min="28" max="28" width="15.42578125" style="1" bestFit="1" customWidth="1"/>
    <col min="29" max="29" width="9.7109375" style="1" bestFit="1" customWidth="1"/>
    <col min="30" max="30" width="16.85546875" style="1" bestFit="1" customWidth="1"/>
    <col min="31" max="31" width="9.140625" style="1"/>
    <col min="32" max="32" width="10.42578125" style="1" bestFit="1" customWidth="1"/>
    <col min="33" max="33" width="31.140625" style="1" bestFit="1" customWidth="1"/>
    <col min="34" max="34" width="14.7109375" style="1" bestFit="1" customWidth="1"/>
    <col min="35" max="35" width="9.7109375" style="1" bestFit="1" customWidth="1"/>
    <col min="36" max="36" width="16.85546875" style="1" bestFit="1" customWidth="1"/>
    <col min="37" max="16384" width="9.140625" style="1"/>
  </cols>
  <sheetData>
    <row r="1" spans="1:36" x14ac:dyDescent="0.25">
      <c r="B1" s="35" t="s">
        <v>15</v>
      </c>
    </row>
    <row r="3" spans="1:36" x14ac:dyDescent="0.25">
      <c r="A3" s="10"/>
      <c r="B3" s="33" t="s">
        <v>115</v>
      </c>
      <c r="C3" s="11"/>
      <c r="D3" s="11"/>
      <c r="E3" s="10"/>
      <c r="F3" s="10"/>
      <c r="G3" s="10"/>
      <c r="H3" s="10"/>
      <c r="I3" s="10"/>
      <c r="J3" s="10"/>
      <c r="K3" s="10"/>
      <c r="L3" s="10"/>
      <c r="AF3" s="10"/>
      <c r="AG3" s="10"/>
      <c r="AH3" s="11"/>
      <c r="AI3" s="10"/>
      <c r="AJ3" s="10"/>
    </row>
    <row r="4" spans="1:36" ht="16.5" thickBot="1" x14ac:dyDescent="0.3">
      <c r="A4" s="2"/>
      <c r="B4" s="2"/>
      <c r="C4" s="66"/>
      <c r="D4" s="67">
        <v>0.15</v>
      </c>
      <c r="E4" s="67"/>
      <c r="F4" s="67">
        <v>0.35</v>
      </c>
      <c r="G4" s="67"/>
      <c r="H4" s="67">
        <v>0.1</v>
      </c>
      <c r="I4" s="67">
        <v>0.1</v>
      </c>
      <c r="J4" s="67"/>
      <c r="K4" s="67">
        <v>0.1</v>
      </c>
      <c r="L4" s="2"/>
      <c r="N4" s="1">
        <v>1000</v>
      </c>
      <c r="P4" s="95" t="s">
        <v>67</v>
      </c>
      <c r="Q4" s="1">
        <v>1000</v>
      </c>
      <c r="R4" s="95"/>
      <c r="S4" s="95" t="s">
        <v>88</v>
      </c>
      <c r="T4" s="1">
        <v>1000</v>
      </c>
      <c r="W4" s="95" t="s">
        <v>56</v>
      </c>
      <c r="X4" s="1">
        <v>1000</v>
      </c>
      <c r="Z4" s="122" t="s">
        <v>57</v>
      </c>
      <c r="AE4" s="10"/>
      <c r="AF4" s="11"/>
      <c r="AI4" s="18"/>
      <c r="AJ4" s="18"/>
    </row>
    <row r="5" spans="1:36" x14ac:dyDescent="0.25">
      <c r="A5" s="24"/>
      <c r="B5" s="8" t="s">
        <v>5</v>
      </c>
      <c r="C5" s="39" t="s">
        <v>27</v>
      </c>
      <c r="D5" s="42" t="s">
        <v>32</v>
      </c>
      <c r="E5" s="43" t="s">
        <v>28</v>
      </c>
      <c r="F5" s="42" t="s">
        <v>32</v>
      </c>
      <c r="G5" s="43" t="s">
        <v>29</v>
      </c>
      <c r="H5" s="42" t="s">
        <v>32</v>
      </c>
      <c r="I5" s="42" t="s">
        <v>89</v>
      </c>
      <c r="J5" s="43" t="s">
        <v>30</v>
      </c>
      <c r="K5" s="42" t="s">
        <v>32</v>
      </c>
      <c r="L5" s="43" t="s">
        <v>31</v>
      </c>
      <c r="N5" s="109" t="s">
        <v>54</v>
      </c>
      <c r="O5" s="129" t="s">
        <v>32</v>
      </c>
      <c r="P5" s="110" t="s">
        <v>55</v>
      </c>
      <c r="Q5" s="109" t="s">
        <v>54</v>
      </c>
      <c r="R5" s="129" t="s">
        <v>32</v>
      </c>
      <c r="S5" s="110" t="s">
        <v>55</v>
      </c>
      <c r="T5" s="109" t="s">
        <v>54</v>
      </c>
      <c r="U5" s="220" t="s">
        <v>32</v>
      </c>
      <c r="V5" s="212" t="s">
        <v>89</v>
      </c>
      <c r="W5" s="110" t="s">
        <v>55</v>
      </c>
      <c r="X5" s="109" t="s">
        <v>54</v>
      </c>
      <c r="Y5" s="129" t="s">
        <v>32</v>
      </c>
      <c r="Z5" s="110" t="s">
        <v>55</v>
      </c>
    </row>
    <row r="6" spans="1:36" s="9" customFormat="1" x14ac:dyDescent="0.25">
      <c r="A6" s="68"/>
      <c r="B6" s="273" t="s">
        <v>110</v>
      </c>
      <c r="C6" s="60">
        <f>'for Dist_SPS'!D6</f>
        <v>3180</v>
      </c>
      <c r="D6" s="64">
        <f>(C29)*D4+(C30+C32+C36)</f>
        <v>1396.45</v>
      </c>
      <c r="E6" s="69">
        <f>C6-D6</f>
        <v>1783.55</v>
      </c>
      <c r="F6" s="64">
        <f>(C29)*F4</f>
        <v>925.05</v>
      </c>
      <c r="G6" s="69">
        <f>E6-F6</f>
        <v>858.5</v>
      </c>
      <c r="H6" s="64">
        <f>(C29-300)*H4</f>
        <v>234.3</v>
      </c>
      <c r="I6" s="64">
        <f>(C29-300)*I4</f>
        <v>234.3</v>
      </c>
      <c r="J6" s="69">
        <f>G6-H6-I6</f>
        <v>389.90000000000003</v>
      </c>
      <c r="K6" s="64">
        <f>(C29-300)*K4</f>
        <v>234.3</v>
      </c>
      <c r="L6" s="69">
        <f>J6-K6</f>
        <v>155.60000000000002</v>
      </c>
      <c r="N6" s="121">
        <f>N4*0.4</f>
        <v>400</v>
      </c>
      <c r="O6" s="118">
        <f>D6*N6</f>
        <v>558580</v>
      </c>
      <c r="P6" s="107">
        <f>C6*N6</f>
        <v>1272000</v>
      </c>
      <c r="Q6" s="121">
        <f>Q4*0.4</f>
        <v>400</v>
      </c>
      <c r="R6" s="118">
        <f>F6*Q6</f>
        <v>370020</v>
      </c>
      <c r="S6" s="107">
        <f>E6*Q6</f>
        <v>713420</v>
      </c>
      <c r="T6" s="121">
        <f>T4*0.4</f>
        <v>400</v>
      </c>
      <c r="U6" s="221">
        <f>H6*T6</f>
        <v>93720</v>
      </c>
      <c r="V6" s="227">
        <f>I6*T6</f>
        <v>93720</v>
      </c>
      <c r="W6" s="107">
        <f>G6*T6</f>
        <v>343400</v>
      </c>
      <c r="X6" s="111">
        <f>X4*0.4</f>
        <v>400</v>
      </c>
      <c r="Y6" s="118">
        <f>K6*X6</f>
        <v>93720</v>
      </c>
      <c r="Z6" s="107">
        <f>X6*J6</f>
        <v>155960</v>
      </c>
      <c r="AA6" s="141" t="s">
        <v>80</v>
      </c>
    </row>
    <row r="7" spans="1:36" x14ac:dyDescent="0.25">
      <c r="A7" s="22"/>
      <c r="B7" s="252" t="s">
        <v>120</v>
      </c>
      <c r="C7" s="82" t="str">
        <f>'for Dist_SPS'!D7</f>
        <v>Valued at 3,888</v>
      </c>
      <c r="D7" s="70"/>
      <c r="E7" s="51"/>
      <c r="F7" s="50"/>
      <c r="G7" s="51"/>
      <c r="H7" s="50"/>
      <c r="I7" s="50"/>
      <c r="J7" s="51"/>
      <c r="K7" s="50"/>
      <c r="L7" s="51"/>
      <c r="N7" s="150"/>
      <c r="O7" s="119"/>
      <c r="P7" s="105"/>
      <c r="Q7" s="150"/>
      <c r="R7" s="119"/>
      <c r="S7" s="105"/>
      <c r="T7" s="150"/>
      <c r="U7" s="222"/>
      <c r="V7" s="228"/>
      <c r="W7" s="105"/>
      <c r="X7" s="112"/>
      <c r="Y7" s="119"/>
      <c r="Z7" s="105"/>
    </row>
    <row r="8" spans="1:36" x14ac:dyDescent="0.25">
      <c r="A8" s="22"/>
      <c r="B8" s="19" t="s">
        <v>9</v>
      </c>
      <c r="C8" s="61" t="str">
        <f>'for Dist_SPS'!D8</f>
        <v>save 702</v>
      </c>
      <c r="D8" s="70"/>
      <c r="E8" s="51"/>
      <c r="F8" s="50"/>
      <c r="G8" s="51"/>
      <c r="H8" s="50"/>
      <c r="I8" s="50"/>
      <c r="J8" s="51"/>
      <c r="K8" s="50"/>
      <c r="L8" s="51"/>
      <c r="N8" s="112"/>
      <c r="O8" s="119"/>
      <c r="P8" s="105"/>
      <c r="Q8" s="112"/>
      <c r="R8" s="119"/>
      <c r="S8" s="105"/>
      <c r="T8" s="112"/>
      <c r="U8" s="222"/>
      <c r="V8" s="228"/>
      <c r="W8" s="105"/>
      <c r="X8" s="112"/>
      <c r="Y8" s="119"/>
      <c r="Z8" s="105"/>
    </row>
    <row r="9" spans="1:36" x14ac:dyDescent="0.25">
      <c r="A9" s="22"/>
      <c r="B9" s="19" t="s">
        <v>26</v>
      </c>
      <c r="C9" s="41"/>
      <c r="D9" s="50"/>
      <c r="E9" s="51"/>
      <c r="F9" s="50"/>
      <c r="G9" s="51"/>
      <c r="H9" s="50"/>
      <c r="I9" s="50"/>
      <c r="J9" s="51"/>
      <c r="K9" s="50"/>
      <c r="L9" s="51"/>
      <c r="N9" s="112"/>
      <c r="O9" s="119"/>
      <c r="P9" s="105"/>
      <c r="Q9" s="112"/>
      <c r="R9" s="119"/>
      <c r="S9" s="105"/>
      <c r="T9" s="112"/>
      <c r="U9" s="222"/>
      <c r="V9" s="228"/>
      <c r="W9" s="105"/>
      <c r="X9" s="112"/>
      <c r="Y9" s="119"/>
      <c r="Z9" s="105"/>
    </row>
    <row r="10" spans="1:36" x14ac:dyDescent="0.25">
      <c r="A10" s="6"/>
      <c r="B10" s="252" t="s">
        <v>121</v>
      </c>
      <c r="C10" s="41"/>
      <c r="D10" s="50"/>
      <c r="E10" s="51"/>
      <c r="F10" s="50"/>
      <c r="G10" s="51"/>
      <c r="H10" s="50"/>
      <c r="I10" s="50"/>
      <c r="J10" s="51"/>
      <c r="K10" s="50"/>
      <c r="L10" s="51"/>
      <c r="N10" s="113"/>
      <c r="O10" s="120"/>
      <c r="P10" s="108"/>
      <c r="Q10" s="113"/>
      <c r="R10" s="120"/>
      <c r="S10" s="108"/>
      <c r="T10" s="113"/>
      <c r="U10" s="223"/>
      <c r="V10" s="229"/>
      <c r="W10" s="108"/>
      <c r="X10" s="113"/>
      <c r="Y10" s="120"/>
      <c r="Z10" s="108"/>
    </row>
    <row r="11" spans="1:36" x14ac:dyDescent="0.25">
      <c r="A11" s="13"/>
      <c r="B11" s="274" t="s">
        <v>112</v>
      </c>
      <c r="C11" s="53">
        <f>'for Dist_SPS'!D11</f>
        <v>3019</v>
      </c>
      <c r="D11" s="64">
        <f>(C29)*D4+(C30+C32)</f>
        <v>946.45</v>
      </c>
      <c r="E11" s="69">
        <f>C11-D11</f>
        <v>2072.5500000000002</v>
      </c>
      <c r="F11" s="64">
        <f>(C29)*F4</f>
        <v>925.05</v>
      </c>
      <c r="G11" s="69">
        <f>E11-F11</f>
        <v>1147.5000000000002</v>
      </c>
      <c r="H11" s="64">
        <f>(C29-200)*H4</f>
        <v>244.3</v>
      </c>
      <c r="I11" s="64">
        <f>(C29-200)*I4</f>
        <v>244.3</v>
      </c>
      <c r="J11" s="69">
        <f>G11-H11-I11</f>
        <v>658.90000000000032</v>
      </c>
      <c r="K11" s="64">
        <f>(C29-200)*K4</f>
        <v>244.3</v>
      </c>
      <c r="L11" s="69">
        <f>J11-K11</f>
        <v>414.60000000000031</v>
      </c>
      <c r="N11" s="114">
        <f>N4*0.3</f>
        <v>300</v>
      </c>
      <c r="O11" s="118">
        <f>D11*N11</f>
        <v>283935</v>
      </c>
      <c r="P11" s="107">
        <f>C11*N11</f>
        <v>905700</v>
      </c>
      <c r="Q11" s="114">
        <f>Q4*0.3</f>
        <v>300</v>
      </c>
      <c r="R11" s="118">
        <f>F11*Q11</f>
        <v>277515</v>
      </c>
      <c r="S11" s="107">
        <f>E11*Q11</f>
        <v>621765</v>
      </c>
      <c r="T11" s="114">
        <f>T4*0.3</f>
        <v>300</v>
      </c>
      <c r="U11" s="221">
        <f>H11*T11</f>
        <v>73290</v>
      </c>
      <c r="V11" s="227">
        <f>I11*T11</f>
        <v>73290</v>
      </c>
      <c r="W11" s="107">
        <f>G11*T11</f>
        <v>344250.00000000006</v>
      </c>
      <c r="X11" s="114">
        <f>X4*0.3</f>
        <v>300</v>
      </c>
      <c r="Y11" s="118">
        <f>K11*X11</f>
        <v>73290</v>
      </c>
      <c r="Z11" s="107">
        <f>X11*J11</f>
        <v>197670.00000000009</v>
      </c>
      <c r="AA11" s="141" t="s">
        <v>81</v>
      </c>
    </row>
    <row r="12" spans="1:36" x14ac:dyDescent="0.25">
      <c r="A12" s="22"/>
      <c r="B12" s="252" t="s">
        <v>120</v>
      </c>
      <c r="C12" s="82" t="str">
        <f>'for Dist_SPS'!D12</f>
        <v>Valued at 3,438</v>
      </c>
      <c r="D12" s="70"/>
      <c r="E12" s="51"/>
      <c r="F12" s="50"/>
      <c r="G12" s="51"/>
      <c r="H12" s="50"/>
      <c r="I12" s="50"/>
      <c r="J12" s="51"/>
      <c r="K12" s="50"/>
      <c r="L12" s="51"/>
      <c r="N12" s="112"/>
      <c r="O12" s="119"/>
      <c r="P12" s="105"/>
      <c r="Q12" s="112"/>
      <c r="R12" s="119"/>
      <c r="S12" s="105"/>
      <c r="T12" s="112"/>
      <c r="U12" s="222"/>
      <c r="V12" s="228"/>
      <c r="W12" s="105"/>
      <c r="X12" s="112"/>
      <c r="Y12" s="119"/>
      <c r="Z12" s="105"/>
    </row>
    <row r="13" spans="1:36" x14ac:dyDescent="0.25">
      <c r="A13" s="22"/>
      <c r="B13" s="19" t="s">
        <v>9</v>
      </c>
      <c r="C13" s="61" t="str">
        <f>'for Dist_SPS'!D13</f>
        <v>save 419</v>
      </c>
      <c r="D13" s="70"/>
      <c r="E13" s="51"/>
      <c r="F13" s="50"/>
      <c r="G13" s="51"/>
      <c r="H13" s="50"/>
      <c r="I13" s="50"/>
      <c r="J13" s="51"/>
      <c r="K13" s="50"/>
      <c r="L13" s="51"/>
      <c r="N13" s="112"/>
      <c r="O13" s="119"/>
      <c r="P13" s="105"/>
      <c r="Q13" s="112"/>
      <c r="R13" s="119"/>
      <c r="S13" s="105"/>
      <c r="T13" s="112"/>
      <c r="U13" s="222"/>
      <c r="V13" s="228"/>
      <c r="W13" s="105"/>
      <c r="X13" s="112"/>
      <c r="Y13" s="119"/>
      <c r="Z13" s="105"/>
    </row>
    <row r="14" spans="1:36" x14ac:dyDescent="0.25">
      <c r="A14" s="6"/>
      <c r="B14" s="20" t="s">
        <v>26</v>
      </c>
      <c r="C14" s="62"/>
      <c r="D14" s="65"/>
      <c r="E14" s="71"/>
      <c r="F14" s="65"/>
      <c r="G14" s="71"/>
      <c r="H14" s="65"/>
      <c r="I14" s="65"/>
      <c r="J14" s="71"/>
      <c r="K14" s="65"/>
      <c r="L14" s="71"/>
      <c r="N14" s="113"/>
      <c r="O14" s="120"/>
      <c r="P14" s="108"/>
      <c r="Q14" s="113"/>
      <c r="R14" s="120"/>
      <c r="S14" s="108"/>
      <c r="T14" s="113"/>
      <c r="U14" s="223"/>
      <c r="V14" s="229"/>
      <c r="W14" s="108"/>
      <c r="X14" s="113"/>
      <c r="Y14" s="120"/>
      <c r="Z14" s="108"/>
    </row>
    <row r="15" spans="1:36" x14ac:dyDescent="0.25">
      <c r="A15" s="13"/>
      <c r="B15" s="274" t="s">
        <v>113</v>
      </c>
      <c r="C15" s="53">
        <f>'for Dist_SPS'!D15</f>
        <v>2819</v>
      </c>
      <c r="D15" s="64">
        <f>(C29)*D4+C32</f>
        <v>746.45</v>
      </c>
      <c r="E15" s="69">
        <f>C15-D15</f>
        <v>2072.5500000000002</v>
      </c>
      <c r="F15" s="64">
        <f>(C29)*F4</f>
        <v>925.05</v>
      </c>
      <c r="G15" s="69">
        <f>E15-F15</f>
        <v>1147.5000000000002</v>
      </c>
      <c r="H15" s="64">
        <f>(C29-150)*H4</f>
        <v>249.3</v>
      </c>
      <c r="I15" s="64">
        <f>(C29-150)*I4</f>
        <v>249.3</v>
      </c>
      <c r="J15" s="69">
        <f>G15-H15-I15</f>
        <v>648.90000000000032</v>
      </c>
      <c r="K15" s="64">
        <f>(C29-150)*K4</f>
        <v>249.3</v>
      </c>
      <c r="L15" s="69">
        <f>J15-K15</f>
        <v>399.60000000000031</v>
      </c>
      <c r="N15" s="112">
        <f>N4*0.2</f>
        <v>200</v>
      </c>
      <c r="O15" s="118">
        <f>D15*N15</f>
        <v>149290</v>
      </c>
      <c r="P15" s="107">
        <f>C15*N15</f>
        <v>563800</v>
      </c>
      <c r="Q15" s="112">
        <f>Q4*0.2</f>
        <v>200</v>
      </c>
      <c r="R15" s="118">
        <f>F15*Q15</f>
        <v>185010</v>
      </c>
      <c r="S15" s="107">
        <f>E15*Q15</f>
        <v>414510.00000000006</v>
      </c>
      <c r="T15" s="112">
        <f>T4*0.2</f>
        <v>200</v>
      </c>
      <c r="U15" s="221">
        <f>H15*T15</f>
        <v>49860</v>
      </c>
      <c r="V15" s="227">
        <f>I15*T15</f>
        <v>49860</v>
      </c>
      <c r="W15" s="107">
        <f>G15*T15</f>
        <v>229500.00000000006</v>
      </c>
      <c r="X15" s="112">
        <f>X4*0.2</f>
        <v>200</v>
      </c>
      <c r="Y15" s="118">
        <f>K15*X15</f>
        <v>49860</v>
      </c>
      <c r="Z15" s="107">
        <f>X15*J15</f>
        <v>129780.00000000006</v>
      </c>
      <c r="AA15" s="141" t="s">
        <v>82</v>
      </c>
    </row>
    <row r="16" spans="1:36" x14ac:dyDescent="0.25">
      <c r="A16" s="22"/>
      <c r="B16" s="252" t="s">
        <v>120</v>
      </c>
      <c r="C16" s="82" t="str">
        <f>'for Dist_SPS'!D16</f>
        <v>Valued at 3,238</v>
      </c>
      <c r="D16" s="70"/>
      <c r="E16" s="51"/>
      <c r="F16" s="50"/>
      <c r="G16" s="51"/>
      <c r="H16" s="50"/>
      <c r="I16" s="50"/>
      <c r="J16" s="51"/>
      <c r="K16" s="50"/>
      <c r="L16" s="51"/>
      <c r="N16" s="112"/>
      <c r="O16" s="119"/>
      <c r="P16" s="105"/>
      <c r="Q16" s="112"/>
      <c r="R16" s="119"/>
      <c r="S16" s="105"/>
      <c r="T16" s="112"/>
      <c r="U16" s="222"/>
      <c r="V16" s="228"/>
      <c r="W16" s="105"/>
      <c r="X16" s="112"/>
      <c r="Y16" s="119"/>
      <c r="Z16" s="105"/>
    </row>
    <row r="17" spans="1:30" x14ac:dyDescent="0.25">
      <c r="A17" s="6"/>
      <c r="B17" s="20" t="s">
        <v>26</v>
      </c>
      <c r="C17" s="61" t="str">
        <f>'for Dist_SPS'!D17</f>
        <v>save 419</v>
      </c>
      <c r="D17" s="70"/>
      <c r="E17" s="71"/>
      <c r="F17" s="65"/>
      <c r="G17" s="71"/>
      <c r="H17" s="65"/>
      <c r="I17" s="65"/>
      <c r="J17" s="71"/>
      <c r="K17" s="65"/>
      <c r="L17" s="71"/>
      <c r="N17" s="112"/>
      <c r="O17" s="119"/>
      <c r="P17" s="105"/>
      <c r="Q17" s="112"/>
      <c r="R17" s="119"/>
      <c r="S17" s="105"/>
      <c r="T17" s="112"/>
      <c r="U17" s="222"/>
      <c r="V17" s="228"/>
      <c r="W17" s="105"/>
      <c r="X17" s="112"/>
      <c r="Y17" s="119"/>
      <c r="Z17" s="105"/>
    </row>
    <row r="18" spans="1:30" x14ac:dyDescent="0.25">
      <c r="A18" s="13"/>
      <c r="B18" s="274" t="s">
        <v>127</v>
      </c>
      <c r="C18" s="53">
        <f>'for Dist_SPS'!D18</f>
        <v>2643</v>
      </c>
      <c r="D18" s="57">
        <f>C18*D4</f>
        <v>396.45</v>
      </c>
      <c r="E18" s="45">
        <f>C18-D18</f>
        <v>2246.5500000000002</v>
      </c>
      <c r="F18" s="44">
        <f>C18*F4</f>
        <v>925.05</v>
      </c>
      <c r="G18" s="45">
        <f>E18-F18</f>
        <v>1321.5000000000002</v>
      </c>
      <c r="H18" s="44">
        <f>C18*H4</f>
        <v>264.3</v>
      </c>
      <c r="I18" s="44">
        <f>C18*I4</f>
        <v>264.3</v>
      </c>
      <c r="J18" s="69">
        <f>G18-H18-I18</f>
        <v>792.90000000000032</v>
      </c>
      <c r="K18" s="44">
        <f>C18*K4</f>
        <v>264.3</v>
      </c>
      <c r="L18" s="69">
        <f>J18-K18</f>
        <v>528.60000000000036</v>
      </c>
      <c r="N18" s="188">
        <f>N4*0.1</f>
        <v>100</v>
      </c>
      <c r="O18" s="118">
        <f>D18*N18</f>
        <v>39645</v>
      </c>
      <c r="P18" s="107">
        <f>C18*N18</f>
        <v>264300</v>
      </c>
      <c r="Q18" s="188">
        <f>Q4*0.1</f>
        <v>100</v>
      </c>
      <c r="R18" s="118">
        <f>F18*Q18</f>
        <v>92505</v>
      </c>
      <c r="S18" s="107">
        <f>E18*Q18</f>
        <v>224655.00000000003</v>
      </c>
      <c r="T18" s="188">
        <f>T4*0.1</f>
        <v>100</v>
      </c>
      <c r="U18" s="224">
        <f>H18*T18</f>
        <v>26430</v>
      </c>
      <c r="V18" s="227">
        <f>I18*T18</f>
        <v>26430</v>
      </c>
      <c r="W18" s="190">
        <f>G18*T18</f>
        <v>132150.00000000003</v>
      </c>
      <c r="X18" s="188">
        <f>X4*0.1</f>
        <v>100</v>
      </c>
      <c r="Y18" s="189">
        <f>K18*X18</f>
        <v>26430</v>
      </c>
      <c r="Z18" s="107">
        <f>X18*J18</f>
        <v>79290.000000000029</v>
      </c>
      <c r="AA18" s="191" t="s">
        <v>83</v>
      </c>
      <c r="AB18" s="187"/>
      <c r="AC18" s="187"/>
      <c r="AD18" s="187"/>
    </row>
    <row r="19" spans="1:30" x14ac:dyDescent="0.25">
      <c r="A19" s="22"/>
      <c r="B19" s="252" t="s">
        <v>120</v>
      </c>
      <c r="C19" s="61" t="str">
        <f>'for Dist_SPS'!D19</f>
        <v>Valued at 2,888</v>
      </c>
      <c r="D19" s="50"/>
      <c r="E19" s="202"/>
      <c r="F19" s="203"/>
      <c r="G19" s="202"/>
      <c r="H19" s="203"/>
      <c r="I19" s="203"/>
      <c r="J19" s="202"/>
      <c r="K19" s="203"/>
      <c r="L19" s="202"/>
      <c r="N19" s="204"/>
      <c r="O19" s="205"/>
      <c r="P19" s="206"/>
      <c r="Q19" s="204"/>
      <c r="R19" s="205"/>
      <c r="S19" s="206"/>
      <c r="T19" s="204"/>
      <c r="U19" s="225"/>
      <c r="V19" s="230"/>
      <c r="W19" s="206"/>
      <c r="X19" s="204"/>
      <c r="Y19" s="205"/>
      <c r="Z19" s="206"/>
      <c r="AA19" s="187"/>
      <c r="AB19" s="187"/>
      <c r="AC19" s="187"/>
      <c r="AD19" s="187"/>
    </row>
    <row r="20" spans="1:30" ht="16.5" thickBot="1" x14ac:dyDescent="0.3">
      <c r="A20" s="6"/>
      <c r="B20" s="20"/>
      <c r="C20" s="72" t="str">
        <f>'for Dist_SPS'!D20</f>
        <v>Save 245</v>
      </c>
      <c r="D20" s="73"/>
      <c r="E20" s="74"/>
      <c r="F20" s="75"/>
      <c r="G20" s="74"/>
      <c r="H20" s="75"/>
      <c r="I20" s="75"/>
      <c r="J20" s="74"/>
      <c r="K20" s="75"/>
      <c r="L20" s="74"/>
      <c r="N20" s="197"/>
      <c r="O20" s="198"/>
      <c r="P20" s="199"/>
      <c r="Q20" s="197"/>
      <c r="R20" s="198"/>
      <c r="S20" s="199"/>
      <c r="T20" s="197"/>
      <c r="U20" s="226"/>
      <c r="V20" s="231"/>
      <c r="W20" s="199"/>
      <c r="X20" s="200"/>
      <c r="Y20" s="198"/>
      <c r="Z20" s="199"/>
    </row>
    <row r="21" spans="1:30" x14ac:dyDescent="0.25">
      <c r="A21" s="10"/>
      <c r="B21" s="19"/>
      <c r="C21" s="11"/>
      <c r="D21" s="11"/>
      <c r="E21" s="10"/>
      <c r="F21" s="10"/>
      <c r="G21" s="10"/>
      <c r="H21" s="10"/>
      <c r="I21" s="10"/>
      <c r="J21" s="10"/>
      <c r="K21" s="10"/>
      <c r="L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spans="1:30" x14ac:dyDescent="0.25">
      <c r="N22" s="117"/>
      <c r="O22" s="297">
        <f>SUM(O6:O21)</f>
        <v>1031450</v>
      </c>
      <c r="P22" s="117">
        <f>SUM(P6:P21)</f>
        <v>3005800</v>
      </c>
      <c r="Q22" s="117"/>
      <c r="R22" s="297">
        <f>SUM(R6:R21)</f>
        <v>925050</v>
      </c>
      <c r="S22" s="117">
        <f>SUM(S6:S21)</f>
        <v>1974350</v>
      </c>
      <c r="T22" s="117"/>
      <c r="U22" s="297">
        <f>SUM(U6:U21)</f>
        <v>243300</v>
      </c>
      <c r="V22" s="117">
        <f>SUM(V6:V21)</f>
        <v>243300</v>
      </c>
      <c r="W22" s="117">
        <f>SUM(W6:W21)</f>
        <v>1049300</v>
      </c>
      <c r="X22" s="117"/>
      <c r="Y22" s="297">
        <f>SUM(Y6:Y21)</f>
        <v>243300</v>
      </c>
      <c r="Z22" s="117">
        <f>SUM(Z6:Z21)</f>
        <v>562700.00000000023</v>
      </c>
    </row>
    <row r="23" spans="1:30" x14ac:dyDescent="0.25"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</row>
    <row r="24" spans="1:30" x14ac:dyDescent="0.25">
      <c r="N24" s="117"/>
      <c r="O24" s="151">
        <f>O22/P22</f>
        <v>0.34315323707498835</v>
      </c>
      <c r="R24" s="151">
        <f>R22/S22</f>
        <v>0.46853394788158126</v>
      </c>
      <c r="U24" s="151">
        <f>(U22+V22)/W22</f>
        <v>0.46373772991518153</v>
      </c>
      <c r="V24" s="151"/>
      <c r="Y24" s="151">
        <f>Y22/Z22</f>
        <v>0.4323795983650256</v>
      </c>
      <c r="Z24" s="117"/>
    </row>
    <row r="25" spans="1:30" x14ac:dyDescent="0.25"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</row>
    <row r="26" spans="1:30" x14ac:dyDescent="0.25">
      <c r="B26" s="35" t="s">
        <v>36</v>
      </c>
    </row>
    <row r="27" spans="1:30" ht="16.5" thickBot="1" x14ac:dyDescent="0.3">
      <c r="A27" s="2"/>
      <c r="B27" s="2"/>
      <c r="C27" s="2"/>
      <c r="D27" s="38">
        <v>0.15</v>
      </c>
      <c r="E27" s="2"/>
      <c r="F27" s="38">
        <v>0.35</v>
      </c>
      <c r="G27" s="2"/>
      <c r="H27" s="38">
        <v>0.1</v>
      </c>
      <c r="I27" s="38"/>
      <c r="J27" s="38"/>
      <c r="K27" s="38">
        <v>0.1</v>
      </c>
      <c r="L27" s="2"/>
      <c r="P27" s="95" t="s">
        <v>67</v>
      </c>
      <c r="S27" s="95" t="s">
        <v>88</v>
      </c>
      <c r="W27" s="95" t="s">
        <v>56</v>
      </c>
      <c r="Z27" s="122" t="s">
        <v>57</v>
      </c>
    </row>
    <row r="28" spans="1:30" s="2" customFormat="1" ht="15" x14ac:dyDescent="0.25">
      <c r="A28" s="8"/>
      <c r="B28" s="8" t="s">
        <v>5</v>
      </c>
      <c r="C28" s="39" t="s">
        <v>27</v>
      </c>
      <c r="D28" s="42" t="s">
        <v>32</v>
      </c>
      <c r="E28" s="43" t="s">
        <v>28</v>
      </c>
      <c r="F28" s="42" t="s">
        <v>32</v>
      </c>
      <c r="G28" s="43" t="s">
        <v>29</v>
      </c>
      <c r="H28" s="42" t="s">
        <v>32</v>
      </c>
      <c r="I28" s="42" t="s">
        <v>89</v>
      </c>
      <c r="J28" s="43" t="s">
        <v>30</v>
      </c>
      <c r="K28" s="63" t="s">
        <v>32</v>
      </c>
      <c r="L28" s="43" t="s">
        <v>31</v>
      </c>
      <c r="N28" s="109" t="s">
        <v>58</v>
      </c>
      <c r="O28" s="129" t="s">
        <v>32</v>
      </c>
      <c r="P28" s="110" t="s">
        <v>55</v>
      </c>
      <c r="Q28" s="109" t="s">
        <v>58</v>
      </c>
      <c r="R28" s="129" t="s">
        <v>32</v>
      </c>
      <c r="S28" s="110" t="s">
        <v>55</v>
      </c>
      <c r="T28" s="109" t="s">
        <v>58</v>
      </c>
      <c r="U28" s="220" t="s">
        <v>32</v>
      </c>
      <c r="V28" s="212" t="s">
        <v>89</v>
      </c>
      <c r="W28" s="110" t="s">
        <v>55</v>
      </c>
      <c r="X28" s="109" t="s">
        <v>66</v>
      </c>
      <c r="Y28" s="129" t="s">
        <v>32</v>
      </c>
      <c r="Z28" s="110" t="s">
        <v>55</v>
      </c>
    </row>
    <row r="29" spans="1:30" s="2" customFormat="1" x14ac:dyDescent="0.25">
      <c r="A29" s="6">
        <v>1</v>
      </c>
      <c r="B29" s="274" t="s">
        <v>128</v>
      </c>
      <c r="C29" s="53">
        <f>'for Dist_SPS'!D18</f>
        <v>2643</v>
      </c>
      <c r="D29" s="57">
        <f>C29*D27</f>
        <v>396.45</v>
      </c>
      <c r="E29" s="45">
        <f>C29-D29</f>
        <v>2246.5500000000002</v>
      </c>
      <c r="F29" s="44">
        <f>C29*F27</f>
        <v>925.05</v>
      </c>
      <c r="G29" s="45">
        <f>E29-F29</f>
        <v>1321.5000000000002</v>
      </c>
      <c r="H29" s="44">
        <f>C29*H27</f>
        <v>264.3</v>
      </c>
      <c r="I29" s="44">
        <f>C29*H27</f>
        <v>264.3</v>
      </c>
      <c r="J29" s="45">
        <f>G29-H29-I29</f>
        <v>792.90000000000032</v>
      </c>
      <c r="K29" s="76">
        <f>C29*K27</f>
        <v>264.3</v>
      </c>
      <c r="L29" s="45">
        <f>J29-K29</f>
        <v>528.60000000000036</v>
      </c>
      <c r="N29" s="121">
        <v>0</v>
      </c>
      <c r="O29" s="118">
        <f>E29*N29</f>
        <v>0</v>
      </c>
      <c r="P29" s="107">
        <v>0</v>
      </c>
      <c r="Q29" s="121">
        <v>0</v>
      </c>
      <c r="R29" s="118">
        <f>H29*Q29</f>
        <v>0</v>
      </c>
      <c r="S29" s="107">
        <v>0</v>
      </c>
      <c r="T29" s="121">
        <v>0</v>
      </c>
      <c r="U29" s="221">
        <f>H29*T29</f>
        <v>0</v>
      </c>
      <c r="V29" s="227">
        <v>0</v>
      </c>
      <c r="W29" s="107">
        <f>E29*T29</f>
        <v>0</v>
      </c>
      <c r="X29" s="111">
        <v>0</v>
      </c>
      <c r="Y29" s="118">
        <v>0</v>
      </c>
      <c r="Z29" s="107">
        <f>X29*L29</f>
        <v>0</v>
      </c>
    </row>
    <row r="30" spans="1:30" s="2" customFormat="1" x14ac:dyDescent="0.25">
      <c r="A30" s="6">
        <v>2</v>
      </c>
      <c r="B30" s="37" t="s">
        <v>0</v>
      </c>
      <c r="C30" s="54">
        <f>'for Dist_SPS'!D27</f>
        <v>200</v>
      </c>
      <c r="D30" s="58">
        <v>200</v>
      </c>
      <c r="E30" s="47">
        <v>0</v>
      </c>
      <c r="F30" s="46" t="s">
        <v>33</v>
      </c>
      <c r="G30" s="47" t="s">
        <v>33</v>
      </c>
      <c r="H30" s="46" t="s">
        <v>33</v>
      </c>
      <c r="I30" s="210"/>
      <c r="J30" s="47" t="s">
        <v>33</v>
      </c>
      <c r="K30" s="77" t="s">
        <v>33</v>
      </c>
      <c r="L30" s="47" t="s">
        <v>33</v>
      </c>
      <c r="N30" s="131">
        <f>(N15+N18)*0.5</f>
        <v>150</v>
      </c>
      <c r="O30" s="123">
        <f>D30*N30</f>
        <v>30000</v>
      </c>
      <c r="P30" s="123">
        <f>C30*N30</f>
        <v>30000</v>
      </c>
      <c r="Q30" s="131" t="s">
        <v>33</v>
      </c>
      <c r="R30" s="123" t="s">
        <v>33</v>
      </c>
      <c r="S30" s="123" t="s">
        <v>33</v>
      </c>
      <c r="T30" s="131" t="s">
        <v>33</v>
      </c>
      <c r="U30" s="216" t="s">
        <v>33</v>
      </c>
      <c r="V30" s="239" t="s">
        <v>33</v>
      </c>
      <c r="W30" s="236" t="s">
        <v>33</v>
      </c>
      <c r="X30" s="131" t="s">
        <v>33</v>
      </c>
      <c r="Y30" s="123" t="s">
        <v>33</v>
      </c>
      <c r="Z30" s="132" t="s">
        <v>33</v>
      </c>
      <c r="AA30" s="141" t="s">
        <v>59</v>
      </c>
    </row>
    <row r="31" spans="1:30" s="2" customFormat="1" x14ac:dyDescent="0.25">
      <c r="A31" s="4">
        <v>3</v>
      </c>
      <c r="B31" s="37" t="s">
        <v>16</v>
      </c>
      <c r="C31" s="40">
        <f>'for Dist_SPS'!D28</f>
        <v>500</v>
      </c>
      <c r="D31" s="57">
        <f>C31*D27</f>
        <v>75</v>
      </c>
      <c r="E31" s="45">
        <f>C31-D31</f>
        <v>425</v>
      </c>
      <c r="F31" s="44">
        <f>C31*F27</f>
        <v>175</v>
      </c>
      <c r="G31" s="45">
        <f>E31-F31</f>
        <v>250</v>
      </c>
      <c r="H31" s="44">
        <f>C31*H27</f>
        <v>50</v>
      </c>
      <c r="I31" s="44">
        <f>C31*H27</f>
        <v>50</v>
      </c>
      <c r="J31" s="45">
        <f>G31-H31-I31</f>
        <v>150</v>
      </c>
      <c r="K31" s="76">
        <f>C31*K27</f>
        <v>50</v>
      </c>
      <c r="L31" s="45">
        <f>J31-K31</f>
        <v>100</v>
      </c>
      <c r="N31" s="131">
        <f>0.1*N4</f>
        <v>100</v>
      </c>
      <c r="O31" s="123">
        <f>D31*N31</f>
        <v>7500</v>
      </c>
      <c r="P31" s="123">
        <f>C31*N31</f>
        <v>50000</v>
      </c>
      <c r="Q31" s="131">
        <f>0.1*Q4</f>
        <v>100</v>
      </c>
      <c r="R31" s="123">
        <f>F31*N31</f>
        <v>17500</v>
      </c>
      <c r="S31" s="123">
        <f>E31*Q31</f>
        <v>42500</v>
      </c>
      <c r="T31" s="131">
        <f>0.1*T4</f>
        <v>100</v>
      </c>
      <c r="U31" s="216">
        <f>H31*T31</f>
        <v>5000</v>
      </c>
      <c r="V31" s="239">
        <f>I31*T31</f>
        <v>5000</v>
      </c>
      <c r="W31" s="236">
        <f>G31*T31</f>
        <v>25000</v>
      </c>
      <c r="X31" s="131">
        <f>0.1*X4</f>
        <v>100</v>
      </c>
      <c r="Y31" s="123">
        <f>K31*X31</f>
        <v>5000</v>
      </c>
      <c r="Z31" s="142">
        <f>J31*X31</f>
        <v>15000</v>
      </c>
      <c r="AA31" s="141" t="s">
        <v>83</v>
      </c>
    </row>
    <row r="32" spans="1:30" s="2" customFormat="1" x14ac:dyDescent="0.25">
      <c r="A32" s="23">
        <v>4</v>
      </c>
      <c r="B32" s="4" t="s">
        <v>45</v>
      </c>
      <c r="C32" s="55">
        <f>'for Dist_SPS'!D29</f>
        <v>350</v>
      </c>
      <c r="D32" s="52">
        <v>350</v>
      </c>
      <c r="E32" s="47">
        <v>0</v>
      </c>
      <c r="F32" s="46" t="s">
        <v>33</v>
      </c>
      <c r="G32" s="47" t="s">
        <v>33</v>
      </c>
      <c r="H32" s="46" t="s">
        <v>33</v>
      </c>
      <c r="I32" s="211" t="s">
        <v>33</v>
      </c>
      <c r="J32" s="47" t="s">
        <v>33</v>
      </c>
      <c r="K32" s="77" t="s">
        <v>33</v>
      </c>
      <c r="L32" s="47" t="s">
        <v>33</v>
      </c>
      <c r="N32" s="131">
        <f>0.3*N18</f>
        <v>30</v>
      </c>
      <c r="O32" s="123">
        <f>D32*N32</f>
        <v>10500</v>
      </c>
      <c r="P32" s="123">
        <f>C32*N32</f>
        <v>10500</v>
      </c>
      <c r="Q32" s="131" t="s">
        <v>33</v>
      </c>
      <c r="R32" s="123" t="s">
        <v>33</v>
      </c>
      <c r="S32" s="123" t="s">
        <v>33</v>
      </c>
      <c r="T32" s="131" t="s">
        <v>33</v>
      </c>
      <c r="U32" s="216" t="s">
        <v>33</v>
      </c>
      <c r="V32" s="239" t="s">
        <v>33</v>
      </c>
      <c r="W32" s="166" t="s">
        <v>33</v>
      </c>
      <c r="X32" s="131" t="s">
        <v>33</v>
      </c>
      <c r="Y32" s="123" t="s">
        <v>33</v>
      </c>
      <c r="Z32" s="142" t="s">
        <v>33</v>
      </c>
      <c r="AA32" s="141" t="s">
        <v>61</v>
      </c>
    </row>
    <row r="33" spans="1:33" s="2" customFormat="1" x14ac:dyDescent="0.25">
      <c r="A33" s="23">
        <v>5</v>
      </c>
      <c r="B33" s="92" t="s">
        <v>48</v>
      </c>
      <c r="C33" s="55">
        <v>150</v>
      </c>
      <c r="D33" s="94" t="s">
        <v>33</v>
      </c>
      <c r="E33" s="93" t="s">
        <v>33</v>
      </c>
      <c r="F33" s="94" t="s">
        <v>33</v>
      </c>
      <c r="G33" s="93" t="s">
        <v>33</v>
      </c>
      <c r="H33" s="46">
        <v>150</v>
      </c>
      <c r="I33" s="211" t="s">
        <v>33</v>
      </c>
      <c r="J33" s="47">
        <v>0</v>
      </c>
      <c r="K33" s="100" t="s">
        <v>33</v>
      </c>
      <c r="L33" s="93" t="s">
        <v>33</v>
      </c>
      <c r="N33" s="131" t="s">
        <v>33</v>
      </c>
      <c r="O33" s="123" t="s">
        <v>33</v>
      </c>
      <c r="P33" s="123" t="s">
        <v>33</v>
      </c>
      <c r="Q33" s="131" t="s">
        <v>33</v>
      </c>
      <c r="R33" s="123" t="s">
        <v>33</v>
      </c>
      <c r="S33" s="123" t="s">
        <v>33</v>
      </c>
      <c r="T33" s="131">
        <f>T6*0.2</f>
        <v>80</v>
      </c>
      <c r="U33" s="216">
        <f>H33*T33</f>
        <v>12000</v>
      </c>
      <c r="V33" s="239" t="s">
        <v>33</v>
      </c>
      <c r="W33" s="236">
        <f>C33*T33</f>
        <v>12000</v>
      </c>
      <c r="X33" s="131" t="s">
        <v>33</v>
      </c>
      <c r="Y33" s="123" t="s">
        <v>33</v>
      </c>
      <c r="Z33" s="142" t="s">
        <v>33</v>
      </c>
      <c r="AA33" s="141" t="s">
        <v>82</v>
      </c>
    </row>
    <row r="34" spans="1:33" s="2" customFormat="1" x14ac:dyDescent="0.25">
      <c r="A34" s="13">
        <v>6</v>
      </c>
      <c r="B34" s="4" t="s">
        <v>7</v>
      </c>
      <c r="C34" s="55">
        <f>'for Dist_SPS'!D30</f>
        <v>180</v>
      </c>
      <c r="D34" s="52">
        <v>180</v>
      </c>
      <c r="E34" s="47">
        <v>0</v>
      </c>
      <c r="F34" s="46" t="s">
        <v>33</v>
      </c>
      <c r="G34" s="47" t="s">
        <v>33</v>
      </c>
      <c r="H34" s="46" t="s">
        <v>33</v>
      </c>
      <c r="I34" s="211" t="s">
        <v>33</v>
      </c>
      <c r="J34" s="47" t="s">
        <v>33</v>
      </c>
      <c r="K34" s="77" t="s">
        <v>33</v>
      </c>
      <c r="L34" s="47" t="s">
        <v>33</v>
      </c>
      <c r="N34" s="134">
        <f>(N11+N15+N18)*0.2</f>
        <v>120</v>
      </c>
      <c r="O34" s="123">
        <f>D34*N34</f>
        <v>21600</v>
      </c>
      <c r="P34" s="123">
        <f>C34*N34</f>
        <v>21600</v>
      </c>
      <c r="Q34" s="131" t="s">
        <v>33</v>
      </c>
      <c r="R34" s="123" t="s">
        <v>33</v>
      </c>
      <c r="S34" s="123" t="s">
        <v>33</v>
      </c>
      <c r="T34" s="134" t="s">
        <v>33</v>
      </c>
      <c r="U34" s="217" t="s">
        <v>33</v>
      </c>
      <c r="V34" s="240" t="s">
        <v>33</v>
      </c>
      <c r="W34" s="237" t="s">
        <v>33</v>
      </c>
      <c r="X34" s="131" t="s">
        <v>33</v>
      </c>
      <c r="Y34" s="123" t="s">
        <v>33</v>
      </c>
      <c r="Z34" s="142" t="s">
        <v>33</v>
      </c>
      <c r="AA34" s="141" t="s">
        <v>60</v>
      </c>
    </row>
    <row r="35" spans="1:33" s="2" customFormat="1" x14ac:dyDescent="0.25">
      <c r="A35" s="23">
        <v>7</v>
      </c>
      <c r="B35" s="4" t="s">
        <v>17</v>
      </c>
      <c r="C35" s="56">
        <f>'for Dist_SPS'!D31</f>
        <v>50</v>
      </c>
      <c r="D35" s="46">
        <v>50</v>
      </c>
      <c r="E35" s="47" t="s">
        <v>33</v>
      </c>
      <c r="F35" s="77" t="s">
        <v>33</v>
      </c>
      <c r="G35" s="101" t="s">
        <v>33</v>
      </c>
      <c r="H35" s="94" t="s">
        <v>33</v>
      </c>
      <c r="I35" s="211" t="s">
        <v>33</v>
      </c>
      <c r="J35" s="93" t="s">
        <v>33</v>
      </c>
      <c r="K35" s="100" t="s">
        <v>53</v>
      </c>
      <c r="L35" s="93" t="s">
        <v>53</v>
      </c>
      <c r="N35" s="134">
        <f>(N11+N15+N18)*0.2</f>
        <v>120</v>
      </c>
      <c r="O35" s="123">
        <f>D35*N35</f>
        <v>6000</v>
      </c>
      <c r="P35" s="123">
        <f>C35*N35</f>
        <v>6000</v>
      </c>
      <c r="Q35" s="131" t="s">
        <v>33</v>
      </c>
      <c r="R35" s="123" t="s">
        <v>33</v>
      </c>
      <c r="S35" s="123" t="s">
        <v>33</v>
      </c>
      <c r="T35" s="134" t="s">
        <v>33</v>
      </c>
      <c r="U35" s="218" t="s">
        <v>33</v>
      </c>
      <c r="V35" s="241" t="s">
        <v>33</v>
      </c>
      <c r="W35" s="143" t="s">
        <v>33</v>
      </c>
      <c r="X35" s="131" t="s">
        <v>33</v>
      </c>
      <c r="Y35" s="123" t="s">
        <v>33</v>
      </c>
      <c r="Z35" s="142" t="s">
        <v>33</v>
      </c>
      <c r="AA35" s="141" t="s">
        <v>60</v>
      </c>
    </row>
    <row r="36" spans="1:33" s="2" customFormat="1" x14ac:dyDescent="0.25">
      <c r="A36" s="23">
        <v>8</v>
      </c>
      <c r="B36" s="13" t="s">
        <v>8</v>
      </c>
      <c r="C36" s="53">
        <f>'for Dist_SPS'!D32</f>
        <v>450</v>
      </c>
      <c r="D36" s="57">
        <v>450</v>
      </c>
      <c r="E36" s="59">
        <v>0</v>
      </c>
      <c r="F36" s="48" t="s">
        <v>33</v>
      </c>
      <c r="G36" s="49" t="s">
        <v>33</v>
      </c>
      <c r="H36" s="48" t="s">
        <v>33</v>
      </c>
      <c r="I36" s="234" t="s">
        <v>33</v>
      </c>
      <c r="J36" s="49" t="s">
        <v>33</v>
      </c>
      <c r="K36" s="78" t="s">
        <v>33</v>
      </c>
      <c r="L36" s="49" t="s">
        <v>33</v>
      </c>
      <c r="N36" s="134">
        <f>(N11+N15+N18)*0.2</f>
        <v>120</v>
      </c>
      <c r="O36" s="125">
        <f>D36*N36</f>
        <v>54000</v>
      </c>
      <c r="P36" s="143">
        <f>C36*N36</f>
        <v>54000</v>
      </c>
      <c r="Q36" s="134" t="s">
        <v>33</v>
      </c>
      <c r="R36" s="125" t="s">
        <v>33</v>
      </c>
      <c r="S36" s="143" t="s">
        <v>33</v>
      </c>
      <c r="T36" s="134" t="s">
        <v>33</v>
      </c>
      <c r="U36" s="127" t="s">
        <v>33</v>
      </c>
      <c r="V36" s="241" t="s">
        <v>33</v>
      </c>
      <c r="W36" s="143" t="s">
        <v>33</v>
      </c>
      <c r="X36" s="134" t="s">
        <v>33</v>
      </c>
      <c r="Y36" s="127" t="s">
        <v>33</v>
      </c>
      <c r="Z36" s="135" t="s">
        <v>33</v>
      </c>
      <c r="AA36" s="141" t="s">
        <v>60</v>
      </c>
    </row>
    <row r="37" spans="1:33" s="2" customFormat="1" x14ac:dyDescent="0.25">
      <c r="A37" s="21"/>
      <c r="B37" s="22" t="s">
        <v>22</v>
      </c>
      <c r="C37" s="41"/>
      <c r="D37" s="50"/>
      <c r="E37" s="51"/>
      <c r="F37" s="50"/>
      <c r="G37" s="51"/>
      <c r="H37" s="50"/>
      <c r="I37" s="209"/>
      <c r="J37" s="51"/>
      <c r="K37" s="79"/>
      <c r="L37" s="51"/>
      <c r="N37" s="104"/>
      <c r="O37" s="119"/>
      <c r="P37" s="144"/>
      <c r="Q37" s="104"/>
      <c r="R37" s="119"/>
      <c r="S37" s="144"/>
      <c r="T37" s="104"/>
      <c r="U37" s="11"/>
      <c r="V37" s="228"/>
      <c r="W37" s="144"/>
      <c r="X37" s="104"/>
      <c r="Y37" s="11"/>
      <c r="Z37" s="105"/>
    </row>
    <row r="38" spans="1:33" s="2" customFormat="1" x14ac:dyDescent="0.25">
      <c r="A38" s="22"/>
      <c r="B38" s="22" t="s">
        <v>18</v>
      </c>
      <c r="C38" s="41"/>
      <c r="D38" s="50"/>
      <c r="E38" s="51"/>
      <c r="F38" s="50"/>
      <c r="G38" s="51"/>
      <c r="H38" s="50"/>
      <c r="I38" s="209"/>
      <c r="J38" s="51"/>
      <c r="K38" s="79"/>
      <c r="L38" s="51"/>
      <c r="N38" s="104"/>
      <c r="O38" s="168"/>
      <c r="P38" s="145"/>
      <c r="Q38" s="104"/>
      <c r="R38" s="168"/>
      <c r="S38" s="145"/>
      <c r="T38" s="104"/>
      <c r="U38" s="126"/>
      <c r="V38" s="242"/>
      <c r="W38" s="145"/>
      <c r="X38" s="104"/>
      <c r="Y38" s="126"/>
      <c r="Z38" s="103"/>
    </row>
    <row r="39" spans="1:33" s="2" customFormat="1" x14ac:dyDescent="0.25">
      <c r="A39" s="22"/>
      <c r="B39" s="22" t="s">
        <v>21</v>
      </c>
      <c r="C39" s="41"/>
      <c r="D39" s="50"/>
      <c r="E39" s="51"/>
      <c r="F39" s="50"/>
      <c r="G39" s="51"/>
      <c r="H39" s="50"/>
      <c r="I39" s="209"/>
      <c r="J39" s="51"/>
      <c r="K39" s="79"/>
      <c r="L39" s="51"/>
      <c r="N39" s="136"/>
      <c r="O39" s="120"/>
      <c r="P39" s="146"/>
      <c r="Q39" s="136"/>
      <c r="R39" s="120"/>
      <c r="S39" s="146"/>
      <c r="T39" s="136"/>
      <c r="U39" s="128"/>
      <c r="V39" s="229"/>
      <c r="W39" s="146"/>
      <c r="X39" s="136"/>
      <c r="Y39" s="128"/>
      <c r="Z39" s="108"/>
    </row>
    <row r="40" spans="1:33" s="2" customFormat="1" x14ac:dyDescent="0.25">
      <c r="A40" s="4">
        <v>9</v>
      </c>
      <c r="B40" s="4" t="s">
        <v>23</v>
      </c>
      <c r="C40" s="55">
        <f>'for Dist_SPS'!D36</f>
        <v>1050</v>
      </c>
      <c r="D40" s="52">
        <f>C40*D27</f>
        <v>157.5</v>
      </c>
      <c r="E40" s="45">
        <f>C40-D40</f>
        <v>892.5</v>
      </c>
      <c r="F40" s="52">
        <f>C40*F27</f>
        <v>367.5</v>
      </c>
      <c r="G40" s="45">
        <f>E40-F40</f>
        <v>525</v>
      </c>
      <c r="H40" s="52">
        <f>C40*H27</f>
        <v>105</v>
      </c>
      <c r="I40" s="52">
        <f>C40*H27</f>
        <v>105</v>
      </c>
      <c r="J40" s="45">
        <f>G40-H40-I40</f>
        <v>315</v>
      </c>
      <c r="K40" s="80">
        <f>C40*K27</f>
        <v>105</v>
      </c>
      <c r="L40" s="45">
        <f>J40-K40</f>
        <v>210</v>
      </c>
      <c r="N40" s="167" t="s">
        <v>33</v>
      </c>
      <c r="O40" s="123" t="s">
        <v>33</v>
      </c>
      <c r="P40" s="166" t="s">
        <v>33</v>
      </c>
      <c r="Q40" s="167" t="s">
        <v>33</v>
      </c>
      <c r="R40" s="123" t="s">
        <v>33</v>
      </c>
      <c r="S40" s="166" t="s">
        <v>33</v>
      </c>
      <c r="T40" s="131" t="s">
        <v>33</v>
      </c>
      <c r="U40" s="216" t="s">
        <v>33</v>
      </c>
      <c r="V40" s="239" t="s">
        <v>33</v>
      </c>
      <c r="W40" s="166" t="s">
        <v>33</v>
      </c>
      <c r="X40" s="131" t="s">
        <v>33</v>
      </c>
      <c r="Y40" s="123" t="s">
        <v>33</v>
      </c>
      <c r="Z40" s="132" t="s">
        <v>33</v>
      </c>
    </row>
    <row r="41" spans="1:33" s="2" customFormat="1" x14ac:dyDescent="0.25">
      <c r="A41" s="4">
        <v>10</v>
      </c>
      <c r="B41" s="13" t="s">
        <v>47</v>
      </c>
      <c r="C41" s="53">
        <f>'for Dist_SPS'!D37</f>
        <v>100</v>
      </c>
      <c r="D41" s="57">
        <f>C41*D27</f>
        <v>15</v>
      </c>
      <c r="E41" s="45">
        <f>C41-D41</f>
        <v>85</v>
      </c>
      <c r="F41" s="57">
        <f>C41*F27</f>
        <v>35</v>
      </c>
      <c r="G41" s="45">
        <f>E41-F41</f>
        <v>50</v>
      </c>
      <c r="H41" s="57">
        <f>C41*H27</f>
        <v>10</v>
      </c>
      <c r="I41" s="57">
        <f>C41*H27</f>
        <v>10</v>
      </c>
      <c r="J41" s="45">
        <f>G41-H41-I41</f>
        <v>30</v>
      </c>
      <c r="K41" s="213">
        <f>C41*K27</f>
        <v>10</v>
      </c>
      <c r="L41" s="45">
        <f>J41-K41</f>
        <v>20</v>
      </c>
      <c r="N41" s="131">
        <f>0.1*N4</f>
        <v>100</v>
      </c>
      <c r="O41" s="123">
        <f>D41*N41</f>
        <v>1500</v>
      </c>
      <c r="P41" s="123">
        <f>C41*N41</f>
        <v>10000</v>
      </c>
      <c r="Q41" s="131">
        <f>0.1*Q4</f>
        <v>100</v>
      </c>
      <c r="R41" s="123">
        <f>F41*N41</f>
        <v>3500</v>
      </c>
      <c r="S41" s="123">
        <f>E41*Q41</f>
        <v>8500</v>
      </c>
      <c r="T41" s="131">
        <f>0.1*T4</f>
        <v>100</v>
      </c>
      <c r="U41" s="217">
        <f>H41*T41</f>
        <v>1000</v>
      </c>
      <c r="V41" s="217">
        <f>I41*T41</f>
        <v>1000</v>
      </c>
      <c r="W41" s="236">
        <f>G41*T41</f>
        <v>5000</v>
      </c>
      <c r="X41" s="131">
        <f>0.1*X4</f>
        <v>100</v>
      </c>
      <c r="Y41" s="124">
        <f>K41*X41</f>
        <v>1000</v>
      </c>
      <c r="Z41" s="133">
        <f>X41*J41</f>
        <v>3000</v>
      </c>
      <c r="AA41" s="141" t="s">
        <v>83</v>
      </c>
    </row>
    <row r="42" spans="1:33" s="2" customFormat="1" x14ac:dyDescent="0.25">
      <c r="A42" s="4">
        <v>11</v>
      </c>
      <c r="B42" s="4" t="s">
        <v>35</v>
      </c>
      <c r="C42" s="55">
        <v>300</v>
      </c>
      <c r="D42" s="46" t="s">
        <v>33</v>
      </c>
      <c r="E42" s="81" t="s">
        <v>33</v>
      </c>
      <c r="F42" s="52">
        <v>300</v>
      </c>
      <c r="G42" s="81">
        <v>0</v>
      </c>
      <c r="H42" s="52" t="s">
        <v>33</v>
      </c>
      <c r="I42" s="233" t="s">
        <v>33</v>
      </c>
      <c r="J42" s="81" t="s">
        <v>33</v>
      </c>
      <c r="K42" s="80" t="s">
        <v>33</v>
      </c>
      <c r="L42" s="81" t="s">
        <v>33</v>
      </c>
      <c r="N42" s="167" t="s">
        <v>33</v>
      </c>
      <c r="O42" s="123" t="s">
        <v>33</v>
      </c>
      <c r="P42" s="166" t="s">
        <v>33</v>
      </c>
      <c r="Q42" s="131">
        <f>0.1*Q4</f>
        <v>100</v>
      </c>
      <c r="R42" s="123">
        <f>F42*Q42</f>
        <v>30000</v>
      </c>
      <c r="S42" s="166">
        <f>C42*Q42</f>
        <v>30000</v>
      </c>
      <c r="T42" s="131" t="s">
        <v>33</v>
      </c>
      <c r="U42" s="216" t="s">
        <v>33</v>
      </c>
      <c r="V42" s="239" t="s">
        <v>33</v>
      </c>
      <c r="W42" s="166" t="s">
        <v>33</v>
      </c>
      <c r="X42" s="131" t="s">
        <v>33</v>
      </c>
      <c r="Y42" s="123" t="s">
        <v>33</v>
      </c>
      <c r="Z42" s="132" t="s">
        <v>33</v>
      </c>
      <c r="AA42" s="141" t="s">
        <v>83</v>
      </c>
    </row>
    <row r="43" spans="1:33" s="2" customFormat="1" x14ac:dyDescent="0.25">
      <c r="A43" s="4">
        <v>12</v>
      </c>
      <c r="B43" s="96" t="s">
        <v>52</v>
      </c>
      <c r="C43" s="53">
        <v>600</v>
      </c>
      <c r="D43" s="48" t="s">
        <v>33</v>
      </c>
      <c r="E43" s="45" t="s">
        <v>33</v>
      </c>
      <c r="F43" s="57" t="s">
        <v>33</v>
      </c>
      <c r="G43" s="45" t="s">
        <v>33</v>
      </c>
      <c r="H43" s="57">
        <v>600</v>
      </c>
      <c r="I43" s="235" t="s">
        <v>33</v>
      </c>
      <c r="J43" s="45">
        <v>0</v>
      </c>
      <c r="K43" s="214" t="s">
        <v>33</v>
      </c>
      <c r="L43" s="155" t="s">
        <v>33</v>
      </c>
      <c r="N43" s="167" t="s">
        <v>33</v>
      </c>
      <c r="O43" s="123" t="s">
        <v>33</v>
      </c>
      <c r="P43" s="166" t="s">
        <v>33</v>
      </c>
      <c r="Q43" s="167" t="s">
        <v>33</v>
      </c>
      <c r="R43" s="123" t="s">
        <v>33</v>
      </c>
      <c r="S43" s="166" t="s">
        <v>33</v>
      </c>
      <c r="T43" s="131">
        <f>0.1*T4</f>
        <v>100</v>
      </c>
      <c r="U43" s="216">
        <f>H43*T43</f>
        <v>60000</v>
      </c>
      <c r="V43" s="239" t="s">
        <v>33</v>
      </c>
      <c r="W43" s="166">
        <f>C43*T43</f>
        <v>60000</v>
      </c>
      <c r="X43" s="131" t="s">
        <v>33</v>
      </c>
      <c r="Y43" s="123" t="s">
        <v>33</v>
      </c>
      <c r="Z43" s="132" t="s">
        <v>33</v>
      </c>
      <c r="AA43" s="141" t="s">
        <v>83</v>
      </c>
      <c r="AB43" s="1"/>
      <c r="AC43" s="1"/>
      <c r="AD43" s="1"/>
      <c r="AE43" s="1"/>
      <c r="AF43" s="1"/>
      <c r="AG43" s="1"/>
    </row>
    <row r="44" spans="1:33" x14ac:dyDescent="0.25">
      <c r="A44" s="4">
        <v>13</v>
      </c>
      <c r="B44" s="4" t="s">
        <v>40</v>
      </c>
      <c r="C44" s="40" t="s">
        <v>33</v>
      </c>
      <c r="D44" s="46" t="s">
        <v>33</v>
      </c>
      <c r="E44" s="81" t="s">
        <v>42</v>
      </c>
      <c r="F44" s="46" t="s">
        <v>33</v>
      </c>
      <c r="G44" s="81" t="s">
        <v>43</v>
      </c>
      <c r="H44" s="46" t="s">
        <v>33</v>
      </c>
      <c r="I44" s="211" t="s">
        <v>33</v>
      </c>
      <c r="J44" s="81" t="s">
        <v>33</v>
      </c>
      <c r="K44" s="77" t="s">
        <v>33</v>
      </c>
      <c r="L44" s="81" t="s">
        <v>33</v>
      </c>
      <c r="N44" s="167" t="s">
        <v>33</v>
      </c>
      <c r="O44" s="123" t="s">
        <v>33</v>
      </c>
      <c r="P44" s="166" t="s">
        <v>33</v>
      </c>
      <c r="Q44" s="167" t="s">
        <v>33</v>
      </c>
      <c r="R44" s="123" t="s">
        <v>33</v>
      </c>
      <c r="S44" s="166" t="s">
        <v>33</v>
      </c>
      <c r="T44" s="131" t="s">
        <v>33</v>
      </c>
      <c r="U44" s="216" t="s">
        <v>33</v>
      </c>
      <c r="V44" s="239" t="s">
        <v>33</v>
      </c>
      <c r="W44" s="166" t="s">
        <v>33</v>
      </c>
      <c r="X44" s="131" t="s">
        <v>33</v>
      </c>
      <c r="Y44" s="123" t="s">
        <v>33</v>
      </c>
      <c r="Z44" s="132" t="s">
        <v>33</v>
      </c>
    </row>
    <row r="45" spans="1:33" ht="16.5" thickBot="1" x14ac:dyDescent="0.3">
      <c r="A45" s="4">
        <v>14</v>
      </c>
      <c r="B45" s="4" t="s">
        <v>41</v>
      </c>
      <c r="C45" s="87" t="s">
        <v>33</v>
      </c>
      <c r="D45" s="88" t="s">
        <v>33</v>
      </c>
      <c r="E45" s="89" t="s">
        <v>43</v>
      </c>
      <c r="F45" s="88" t="s">
        <v>33</v>
      </c>
      <c r="G45" s="89" t="s">
        <v>33</v>
      </c>
      <c r="H45" s="88" t="s">
        <v>33</v>
      </c>
      <c r="I45" s="232" t="s">
        <v>33</v>
      </c>
      <c r="J45" s="89" t="s">
        <v>33</v>
      </c>
      <c r="K45" s="90" t="s">
        <v>33</v>
      </c>
      <c r="L45" s="89" t="s">
        <v>33</v>
      </c>
      <c r="N45" s="137" t="s">
        <v>33</v>
      </c>
      <c r="O45" s="138" t="s">
        <v>33</v>
      </c>
      <c r="P45" s="148" t="s">
        <v>33</v>
      </c>
      <c r="Q45" s="137" t="s">
        <v>33</v>
      </c>
      <c r="R45" s="138" t="s">
        <v>33</v>
      </c>
      <c r="S45" s="148" t="s">
        <v>33</v>
      </c>
      <c r="T45" s="137" t="s">
        <v>33</v>
      </c>
      <c r="U45" s="219" t="s">
        <v>33</v>
      </c>
      <c r="V45" s="243" t="s">
        <v>33</v>
      </c>
      <c r="W45" s="238" t="s">
        <v>33</v>
      </c>
      <c r="X45" s="140" t="s">
        <v>33</v>
      </c>
      <c r="Y45" s="138" t="s">
        <v>33</v>
      </c>
      <c r="Z45" s="139" t="s">
        <v>33</v>
      </c>
    </row>
    <row r="46" spans="1:33" x14ac:dyDescent="0.25">
      <c r="B46" s="34" t="s">
        <v>24</v>
      </c>
      <c r="L46" s="10"/>
    </row>
    <row r="47" spans="1:33" x14ac:dyDescent="0.25">
      <c r="O47" s="117">
        <f>SUM(O29:O45)</f>
        <v>131100</v>
      </c>
      <c r="P47" s="117">
        <f>SUM(P29:P45)</f>
        <v>182100</v>
      </c>
      <c r="R47" s="117">
        <f>SUM(R29:R45)</f>
        <v>51000</v>
      </c>
      <c r="S47" s="117">
        <f>SUM(S29:S45)</f>
        <v>81000</v>
      </c>
      <c r="T47" s="117"/>
      <c r="U47" s="117">
        <f>SUM(U29:U45)</f>
        <v>78000</v>
      </c>
      <c r="V47" s="117">
        <f>SUM(V29:V46)</f>
        <v>6000</v>
      </c>
      <c r="W47" s="117">
        <f>SUM(W29:W45)</f>
        <v>102000</v>
      </c>
      <c r="X47" s="117"/>
      <c r="Y47" s="117">
        <f>SUM(Y29:Y45)</f>
        <v>6000</v>
      </c>
      <c r="Z47" s="117">
        <f>SUM(Z29:Z45)</f>
        <v>18000</v>
      </c>
    </row>
    <row r="49" spans="1:28" x14ac:dyDescent="0.25">
      <c r="O49" s="151">
        <f>O47/P47</f>
        <v>0.71993410214168041</v>
      </c>
      <c r="R49" s="151">
        <f>R47/S47</f>
        <v>0.62962962962962965</v>
      </c>
      <c r="U49" s="151">
        <f>(U47+V47)/W47</f>
        <v>0.82352941176470584</v>
      </c>
      <c r="V49" s="151"/>
      <c r="Y49" s="151">
        <f>Y47/Z47</f>
        <v>0.33333333333333331</v>
      </c>
    </row>
    <row r="51" spans="1:28" x14ac:dyDescent="0.25">
      <c r="A51" s="10"/>
      <c r="B51" s="33" t="s">
        <v>129</v>
      </c>
      <c r="C51" s="11"/>
      <c r="D51" s="11"/>
      <c r="E51" s="10"/>
      <c r="F51" s="10"/>
      <c r="G51" s="10"/>
      <c r="H51" s="10"/>
      <c r="I51" s="10"/>
    </row>
    <row r="52" spans="1:28" ht="16.5" thickBot="1" x14ac:dyDescent="0.3">
      <c r="D52" s="67">
        <v>0.15</v>
      </c>
      <c r="E52" s="67"/>
      <c r="F52" s="67">
        <v>0.35</v>
      </c>
      <c r="G52" s="67"/>
      <c r="H52" s="67">
        <v>0.1</v>
      </c>
      <c r="I52" s="67">
        <v>0.1</v>
      </c>
      <c r="J52" s="67"/>
      <c r="K52" s="67">
        <v>0.1</v>
      </c>
      <c r="L52" s="2"/>
      <c r="N52" s="1">
        <v>500</v>
      </c>
      <c r="P52" s="95" t="s">
        <v>67</v>
      </c>
      <c r="Q52" s="1">
        <v>500</v>
      </c>
      <c r="S52" s="95" t="s">
        <v>88</v>
      </c>
      <c r="T52" s="1">
        <v>500</v>
      </c>
      <c r="W52" s="95" t="s">
        <v>56</v>
      </c>
      <c r="X52" s="1">
        <v>500</v>
      </c>
      <c r="Z52" s="122" t="s">
        <v>57</v>
      </c>
    </row>
    <row r="53" spans="1:28" x14ac:dyDescent="0.25">
      <c r="A53" s="25"/>
      <c r="B53" s="8" t="s">
        <v>5</v>
      </c>
      <c r="C53" s="24" t="s">
        <v>2</v>
      </c>
      <c r="D53" s="42" t="s">
        <v>32</v>
      </c>
      <c r="E53" s="43" t="s">
        <v>28</v>
      </c>
      <c r="F53" s="42" t="s">
        <v>32</v>
      </c>
      <c r="G53" s="43" t="s">
        <v>29</v>
      </c>
      <c r="H53" s="42" t="s">
        <v>32</v>
      </c>
      <c r="I53" s="42" t="s">
        <v>89</v>
      </c>
      <c r="J53" s="43" t="s">
        <v>30</v>
      </c>
      <c r="K53" s="42" t="s">
        <v>32</v>
      </c>
      <c r="L53" s="43" t="s">
        <v>31</v>
      </c>
      <c r="N53" s="109" t="s">
        <v>54</v>
      </c>
      <c r="O53" s="129" t="s">
        <v>32</v>
      </c>
      <c r="P53" s="110" t="s">
        <v>55</v>
      </c>
      <c r="Q53" s="109" t="s">
        <v>54</v>
      </c>
      <c r="R53" s="129" t="s">
        <v>32</v>
      </c>
      <c r="S53" s="110" t="s">
        <v>55</v>
      </c>
      <c r="T53" s="109" t="s">
        <v>54</v>
      </c>
      <c r="U53" s="129" t="s">
        <v>32</v>
      </c>
      <c r="V53" s="212" t="s">
        <v>89</v>
      </c>
      <c r="W53" s="110" t="s">
        <v>55</v>
      </c>
      <c r="X53" s="109" t="s">
        <v>54</v>
      </c>
      <c r="Y53" s="129" t="s">
        <v>32</v>
      </c>
      <c r="Z53" s="110" t="s">
        <v>55</v>
      </c>
    </row>
    <row r="54" spans="1:28" x14ac:dyDescent="0.25">
      <c r="A54" s="27"/>
      <c r="B54" s="273" t="s">
        <v>110</v>
      </c>
      <c r="C54" s="28">
        <f>'for Dist_SPS'!J6</f>
        <v>4585</v>
      </c>
      <c r="D54" s="64">
        <f>(C76)*D52+(C77+550+C83)</f>
        <v>2183.6999999999998</v>
      </c>
      <c r="E54" s="69">
        <f>C54-D54</f>
        <v>2401.3000000000002</v>
      </c>
      <c r="F54" s="64">
        <f>(C76)*F52</f>
        <v>1245.3</v>
      </c>
      <c r="G54" s="69">
        <f>E54-F54</f>
        <v>1156.0000000000002</v>
      </c>
      <c r="H54" s="64">
        <f>(C76-400)*H52</f>
        <v>315.8</v>
      </c>
      <c r="I54" s="64">
        <f>(C76-400)*I52</f>
        <v>315.8</v>
      </c>
      <c r="J54" s="69">
        <f>G54-H54-I54</f>
        <v>524.40000000000032</v>
      </c>
      <c r="K54" s="64">
        <f>(C76-400)*K52</f>
        <v>315.8</v>
      </c>
      <c r="L54" s="69">
        <f>J54-K54</f>
        <v>208.60000000000031</v>
      </c>
      <c r="N54" s="121">
        <f>N52*0.4</f>
        <v>200</v>
      </c>
      <c r="O54" s="118">
        <f>D54*N54</f>
        <v>436739.99999999994</v>
      </c>
      <c r="P54" s="107">
        <f>C54*N54</f>
        <v>917000</v>
      </c>
      <c r="Q54" s="121">
        <f>Q52*0.4</f>
        <v>200</v>
      </c>
      <c r="R54" s="118">
        <f>F54*Q54</f>
        <v>249060</v>
      </c>
      <c r="S54" s="107">
        <f>E54*Q54</f>
        <v>480260.00000000006</v>
      </c>
      <c r="T54" s="121">
        <f>T52*0.4</f>
        <v>200</v>
      </c>
      <c r="U54" s="118">
        <f>H54*T54</f>
        <v>63160</v>
      </c>
      <c r="V54" s="227">
        <f>I54*T54</f>
        <v>63160</v>
      </c>
      <c r="W54" s="107">
        <f>G54*T54</f>
        <v>231200.00000000006</v>
      </c>
      <c r="X54" s="111">
        <f>X52*0.4</f>
        <v>200</v>
      </c>
      <c r="Y54" s="118">
        <f>K54*X54</f>
        <v>63160</v>
      </c>
      <c r="Z54" s="107">
        <f>X54*J54</f>
        <v>104880.00000000006</v>
      </c>
      <c r="AA54" s="141" t="s">
        <v>84</v>
      </c>
      <c r="AB54" s="9"/>
    </row>
    <row r="55" spans="1:28" x14ac:dyDescent="0.25">
      <c r="A55" s="17"/>
      <c r="B55" s="252" t="s">
        <v>130</v>
      </c>
      <c r="C55" s="32" t="str">
        <f>'for Dist_SPS'!J7</f>
        <v>Valued at 5,538</v>
      </c>
      <c r="D55" s="70"/>
      <c r="E55" s="51"/>
      <c r="F55" s="50"/>
      <c r="G55" s="51"/>
      <c r="H55" s="50"/>
      <c r="I55" s="50"/>
      <c r="J55" s="51"/>
      <c r="K55" s="50"/>
      <c r="L55" s="51"/>
      <c r="N55" s="150"/>
      <c r="O55" s="119"/>
      <c r="P55" s="105"/>
      <c r="Q55" s="150"/>
      <c r="R55" s="119"/>
      <c r="S55" s="105"/>
      <c r="T55" s="112"/>
      <c r="U55" s="119"/>
      <c r="V55" s="228"/>
      <c r="W55" s="105"/>
      <c r="X55" s="112"/>
      <c r="Y55" s="119"/>
      <c r="Z55" s="105"/>
    </row>
    <row r="56" spans="1:28" x14ac:dyDescent="0.25">
      <c r="A56" s="17"/>
      <c r="B56" s="19" t="s">
        <v>9</v>
      </c>
      <c r="C56" s="32" t="str">
        <f>'for Dist_SPS'!J8</f>
        <v>save 953</v>
      </c>
      <c r="D56" s="70"/>
      <c r="E56" s="51"/>
      <c r="F56" s="50"/>
      <c r="G56" s="51"/>
      <c r="H56" s="50"/>
      <c r="I56" s="50"/>
      <c r="J56" s="51"/>
      <c r="K56" s="50"/>
      <c r="L56" s="51"/>
      <c r="N56" s="112"/>
      <c r="O56" s="119"/>
      <c r="P56" s="105"/>
      <c r="Q56" s="112"/>
      <c r="R56" s="119"/>
      <c r="S56" s="105"/>
      <c r="T56" s="112"/>
      <c r="U56" s="119"/>
      <c r="V56" s="228"/>
      <c r="W56" s="105"/>
      <c r="X56" s="112"/>
      <c r="Y56" s="119"/>
      <c r="Z56" s="105"/>
    </row>
    <row r="57" spans="1:28" x14ac:dyDescent="0.25">
      <c r="A57" s="17"/>
      <c r="B57" s="19" t="s">
        <v>25</v>
      </c>
      <c r="C57" s="32"/>
      <c r="D57" s="50"/>
      <c r="E57" s="51"/>
      <c r="F57" s="50"/>
      <c r="G57" s="51"/>
      <c r="H57" s="50"/>
      <c r="I57" s="50"/>
      <c r="J57" s="51"/>
      <c r="K57" s="50"/>
      <c r="L57" s="51"/>
      <c r="N57" s="112"/>
      <c r="O57" s="119"/>
      <c r="P57" s="105"/>
      <c r="Q57" s="112"/>
      <c r="R57" s="119"/>
      <c r="S57" s="105"/>
      <c r="T57" s="112"/>
      <c r="U57" s="119"/>
      <c r="V57" s="228"/>
      <c r="W57" s="105"/>
      <c r="X57" s="112"/>
      <c r="Y57" s="119"/>
      <c r="Z57" s="105"/>
    </row>
    <row r="58" spans="1:28" x14ac:dyDescent="0.25">
      <c r="A58" s="5"/>
      <c r="B58" s="252" t="s">
        <v>121</v>
      </c>
      <c r="C58" s="26"/>
      <c r="D58" s="50"/>
      <c r="E58" s="51"/>
      <c r="F58" s="50"/>
      <c r="G58" s="51"/>
      <c r="H58" s="50"/>
      <c r="I58" s="50"/>
      <c r="J58" s="51"/>
      <c r="K58" s="50"/>
      <c r="L58" s="51"/>
      <c r="N58" s="113"/>
      <c r="O58" s="120"/>
      <c r="P58" s="108"/>
      <c r="Q58" s="113"/>
      <c r="R58" s="120"/>
      <c r="S58" s="108"/>
      <c r="T58" s="113"/>
      <c r="U58" s="120"/>
      <c r="V58" s="229"/>
      <c r="W58" s="108"/>
      <c r="X58" s="113"/>
      <c r="Y58" s="120"/>
      <c r="Z58" s="108"/>
    </row>
    <row r="59" spans="1:28" x14ac:dyDescent="0.25">
      <c r="A59" s="12"/>
      <c r="B59" s="274" t="s">
        <v>112</v>
      </c>
      <c r="C59" s="14">
        <f>'for Dist_SPS'!J11</f>
        <v>4204</v>
      </c>
      <c r="D59" s="64">
        <f>(C76)*D52+(C77+550)</f>
        <v>1433.6999999999998</v>
      </c>
      <c r="E59" s="69">
        <f>C59-D59</f>
        <v>2770.3</v>
      </c>
      <c r="F59" s="64">
        <f>(C76)*F52</f>
        <v>1245.3</v>
      </c>
      <c r="G59" s="69">
        <f>E59-F59</f>
        <v>1525.0000000000002</v>
      </c>
      <c r="H59" s="64">
        <f>(C76-300)*H52</f>
        <v>325.8</v>
      </c>
      <c r="I59" s="64">
        <f>(C76-300)*I52</f>
        <v>325.8</v>
      </c>
      <c r="J59" s="69">
        <f>G59-H59-I59</f>
        <v>873.40000000000032</v>
      </c>
      <c r="K59" s="64">
        <f>(C76-300)*K52</f>
        <v>325.8</v>
      </c>
      <c r="L59" s="69">
        <f>J59-K59</f>
        <v>547.60000000000036</v>
      </c>
      <c r="N59" s="114">
        <f>N52*0.3</f>
        <v>150</v>
      </c>
      <c r="O59" s="118">
        <f>D59*N59</f>
        <v>215054.99999999997</v>
      </c>
      <c r="P59" s="107">
        <f>C59*N59</f>
        <v>630600</v>
      </c>
      <c r="Q59" s="114">
        <f>Q52*0.3</f>
        <v>150</v>
      </c>
      <c r="R59" s="118">
        <f>F59*Q59</f>
        <v>186795</v>
      </c>
      <c r="S59" s="107">
        <f>E59*Q59</f>
        <v>415545</v>
      </c>
      <c r="T59" s="114">
        <f>T52*0.3</f>
        <v>150</v>
      </c>
      <c r="U59" s="118">
        <f>H59*T59</f>
        <v>48870</v>
      </c>
      <c r="V59" s="227">
        <f>I59*T59</f>
        <v>48870</v>
      </c>
      <c r="W59" s="107">
        <f>G59*T59</f>
        <v>228750.00000000003</v>
      </c>
      <c r="X59" s="114">
        <f>X52*0.3</f>
        <v>150</v>
      </c>
      <c r="Y59" s="118">
        <f>K59*X59</f>
        <v>48870</v>
      </c>
      <c r="Z59" s="107">
        <f>X59*J59</f>
        <v>131010.00000000004</v>
      </c>
      <c r="AA59" s="141" t="s">
        <v>85</v>
      </c>
    </row>
    <row r="60" spans="1:28" x14ac:dyDescent="0.25">
      <c r="A60" s="17"/>
      <c r="B60" s="252" t="s">
        <v>131</v>
      </c>
      <c r="C60" s="32" t="str">
        <f>'for Dist_SPS'!J12</f>
        <v>Valued at 4,768</v>
      </c>
      <c r="D60" s="70"/>
      <c r="E60" s="51"/>
      <c r="F60" s="50"/>
      <c r="G60" s="51"/>
      <c r="H60" s="50"/>
      <c r="I60" s="50"/>
      <c r="J60" s="51"/>
      <c r="K60" s="50"/>
      <c r="L60" s="51"/>
      <c r="N60" s="112"/>
      <c r="O60" s="119"/>
      <c r="P60" s="105"/>
      <c r="Q60" s="112"/>
      <c r="R60" s="119"/>
      <c r="S60" s="105"/>
      <c r="T60" s="112"/>
      <c r="U60" s="119"/>
      <c r="V60" s="228"/>
      <c r="W60" s="105"/>
      <c r="X60" s="112"/>
      <c r="Y60" s="119"/>
      <c r="Z60" s="105"/>
    </row>
    <row r="61" spans="1:28" x14ac:dyDescent="0.25">
      <c r="A61" s="17"/>
      <c r="B61" s="19" t="s">
        <v>9</v>
      </c>
      <c r="C61" s="32" t="str">
        <f>'for Dist_SPS'!J13</f>
        <v>save 564</v>
      </c>
      <c r="D61" s="70"/>
      <c r="E61" s="51"/>
      <c r="F61" s="50"/>
      <c r="G61" s="51"/>
      <c r="H61" s="50"/>
      <c r="I61" s="50"/>
      <c r="J61" s="51"/>
      <c r="K61" s="50"/>
      <c r="L61" s="51"/>
      <c r="N61" s="112"/>
      <c r="O61" s="119"/>
      <c r="P61" s="105"/>
      <c r="Q61" s="112"/>
      <c r="R61" s="119"/>
      <c r="S61" s="105"/>
      <c r="T61" s="112"/>
      <c r="U61" s="119"/>
      <c r="V61" s="228"/>
      <c r="W61" s="105"/>
      <c r="X61" s="112"/>
      <c r="Y61" s="119"/>
      <c r="Z61" s="105"/>
    </row>
    <row r="62" spans="1:28" x14ac:dyDescent="0.25">
      <c r="A62" s="5"/>
      <c r="B62" s="20" t="s">
        <v>25</v>
      </c>
      <c r="C62" s="7"/>
      <c r="D62" s="65"/>
      <c r="E62" s="71"/>
      <c r="F62" s="65"/>
      <c r="G62" s="71"/>
      <c r="H62" s="65"/>
      <c r="I62" s="65"/>
      <c r="J62" s="71"/>
      <c r="K62" s="65"/>
      <c r="L62" s="71"/>
      <c r="N62" s="113"/>
      <c r="O62" s="120"/>
      <c r="P62" s="108"/>
      <c r="Q62" s="113"/>
      <c r="R62" s="120"/>
      <c r="S62" s="108"/>
      <c r="T62" s="113"/>
      <c r="U62" s="120"/>
      <c r="V62" s="229"/>
      <c r="W62" s="108"/>
      <c r="X62" s="113"/>
      <c r="Y62" s="120"/>
      <c r="Z62" s="108"/>
    </row>
    <row r="63" spans="1:28" x14ac:dyDescent="0.25">
      <c r="A63" s="12"/>
      <c r="B63" s="274" t="s">
        <v>113</v>
      </c>
      <c r="C63" s="14">
        <f>'for Dist_SPS'!J15</f>
        <v>3874</v>
      </c>
      <c r="D63" s="64">
        <f>(C76)*D52+550</f>
        <v>1083.6999999999998</v>
      </c>
      <c r="E63" s="69">
        <f>C63-D63</f>
        <v>2790.3</v>
      </c>
      <c r="F63" s="64">
        <f>(C76)*F52</f>
        <v>1245.3</v>
      </c>
      <c r="G63" s="69">
        <f>E63-F63</f>
        <v>1545.0000000000002</v>
      </c>
      <c r="H63" s="64">
        <f>(C76-200)*H52</f>
        <v>335.8</v>
      </c>
      <c r="I63" s="64">
        <f>(C76-200)*I52</f>
        <v>335.8</v>
      </c>
      <c r="J63" s="69">
        <f>G63-H63-I63</f>
        <v>873.40000000000032</v>
      </c>
      <c r="K63" s="64">
        <f>(C76-200)*K52</f>
        <v>335.8</v>
      </c>
      <c r="L63" s="69">
        <f>J63-K63</f>
        <v>537.60000000000036</v>
      </c>
      <c r="N63" s="112">
        <f>N52*0.2</f>
        <v>100</v>
      </c>
      <c r="O63" s="118">
        <f>D63*N63</f>
        <v>108369.99999999999</v>
      </c>
      <c r="P63" s="107">
        <f>C63*N63</f>
        <v>387400</v>
      </c>
      <c r="Q63" s="112">
        <f>Q52*0.2</f>
        <v>100</v>
      </c>
      <c r="R63" s="118">
        <f>F63*Q63</f>
        <v>124530</v>
      </c>
      <c r="S63" s="107">
        <f>E63*Q63</f>
        <v>279030</v>
      </c>
      <c r="T63" s="112">
        <f>T52*0.2</f>
        <v>100</v>
      </c>
      <c r="U63" s="118">
        <f>H63*T63</f>
        <v>33580</v>
      </c>
      <c r="V63" s="227">
        <f>I63*T63</f>
        <v>33580</v>
      </c>
      <c r="W63" s="107">
        <f>G63*T63</f>
        <v>154500.00000000003</v>
      </c>
      <c r="X63" s="112">
        <f>X52*0.2</f>
        <v>100</v>
      </c>
      <c r="Y63" s="118">
        <f>K63*X63</f>
        <v>33580</v>
      </c>
      <c r="Z63" s="107">
        <f>X63*J63</f>
        <v>87340.000000000029</v>
      </c>
      <c r="AA63" s="141" t="s">
        <v>86</v>
      </c>
    </row>
    <row r="64" spans="1:28" x14ac:dyDescent="0.25">
      <c r="A64" s="17"/>
      <c r="B64" s="252" t="s">
        <v>131</v>
      </c>
      <c r="C64" s="32" t="str">
        <f>'for Dist_SPS'!J16</f>
        <v>Valued at 4,438</v>
      </c>
      <c r="D64" s="70"/>
      <c r="E64" s="51"/>
      <c r="F64" s="50"/>
      <c r="G64" s="51"/>
      <c r="H64" s="50"/>
      <c r="I64" s="50"/>
      <c r="J64" s="51"/>
      <c r="K64" s="50"/>
      <c r="L64" s="51"/>
      <c r="N64" s="112"/>
      <c r="O64" s="119"/>
      <c r="P64" s="105"/>
      <c r="Q64" s="112"/>
      <c r="R64" s="119"/>
      <c r="S64" s="105"/>
      <c r="T64" s="112"/>
      <c r="U64" s="119"/>
      <c r="V64" s="228"/>
      <c r="W64" s="105"/>
      <c r="X64" s="112"/>
      <c r="Y64" s="119"/>
      <c r="Z64" s="105"/>
    </row>
    <row r="65" spans="1:27" x14ac:dyDescent="0.25">
      <c r="A65" s="5"/>
      <c r="B65" s="20" t="s">
        <v>25</v>
      </c>
      <c r="C65" s="32" t="str">
        <f>'for Dist_SPS'!J17</f>
        <v>save 564</v>
      </c>
      <c r="D65" s="70"/>
      <c r="E65" s="71"/>
      <c r="F65" s="65"/>
      <c r="G65" s="71"/>
      <c r="H65" s="65"/>
      <c r="I65" s="65"/>
      <c r="J65" s="71"/>
      <c r="K65" s="65"/>
      <c r="L65" s="71"/>
      <c r="N65" s="112"/>
      <c r="O65" s="119"/>
      <c r="P65" s="105"/>
      <c r="Q65" s="112"/>
      <c r="R65" s="119"/>
      <c r="S65" s="105"/>
      <c r="T65" s="112"/>
      <c r="U65" s="119"/>
      <c r="V65" s="228"/>
      <c r="W65" s="105"/>
      <c r="X65" s="112"/>
      <c r="Y65" s="119"/>
      <c r="Z65" s="105"/>
    </row>
    <row r="66" spans="1:27" x14ac:dyDescent="0.25">
      <c r="A66" s="12"/>
      <c r="B66" s="274" t="s">
        <v>127</v>
      </c>
      <c r="C66" s="14">
        <f>'for Dist_SPS'!J18</f>
        <v>3558</v>
      </c>
      <c r="D66" s="57">
        <f>C66*D52</f>
        <v>533.69999999999993</v>
      </c>
      <c r="E66" s="45">
        <f>C66-D66</f>
        <v>3024.3</v>
      </c>
      <c r="F66" s="44">
        <f>C66*F52</f>
        <v>1245.3</v>
      </c>
      <c r="G66" s="45">
        <f>E66-F66</f>
        <v>1779.0000000000002</v>
      </c>
      <c r="H66" s="44">
        <f>C66*H52</f>
        <v>355.8</v>
      </c>
      <c r="I66" s="44">
        <f>C66*I52</f>
        <v>355.8</v>
      </c>
      <c r="J66" s="69">
        <f>G66-H66-I66</f>
        <v>1067.4000000000003</v>
      </c>
      <c r="K66" s="44">
        <f>C66*K52</f>
        <v>355.8</v>
      </c>
      <c r="L66" s="45">
        <f>J66-K66</f>
        <v>711.60000000000036</v>
      </c>
      <c r="N66" s="114">
        <f>N52*0.1</f>
        <v>50</v>
      </c>
      <c r="O66" s="118">
        <f>D66*N66</f>
        <v>26684.999999999996</v>
      </c>
      <c r="P66" s="107">
        <f>C66*N66</f>
        <v>177900</v>
      </c>
      <c r="Q66" s="114">
        <f>Q52*0.1</f>
        <v>50</v>
      </c>
      <c r="R66" s="118">
        <f>F66*Q66</f>
        <v>62265</v>
      </c>
      <c r="S66" s="107">
        <f>E66*Q66</f>
        <v>151215</v>
      </c>
      <c r="T66" s="114">
        <f>T52*0.1</f>
        <v>50</v>
      </c>
      <c r="U66" s="118">
        <f>H66*T66</f>
        <v>17790</v>
      </c>
      <c r="V66" s="227">
        <f>I66*T66</f>
        <v>17790</v>
      </c>
      <c r="W66" s="107">
        <f>G66*T66</f>
        <v>88950.000000000015</v>
      </c>
      <c r="X66" s="114">
        <f>X52*0.1</f>
        <v>50</v>
      </c>
      <c r="Y66" s="118">
        <f>K66*X66</f>
        <v>17790</v>
      </c>
      <c r="Z66" s="107">
        <f>X66*J66</f>
        <v>53370.000000000015</v>
      </c>
      <c r="AA66" s="141" t="s">
        <v>87</v>
      </c>
    </row>
    <row r="67" spans="1:27" x14ac:dyDescent="0.25">
      <c r="A67" s="17"/>
      <c r="B67" s="252" t="s">
        <v>130</v>
      </c>
      <c r="C67" s="26" t="str">
        <f>'for Dist_SPS'!J19</f>
        <v>Valued at 3,888</v>
      </c>
      <c r="D67" s="50"/>
      <c r="E67" s="202"/>
      <c r="F67" s="203"/>
      <c r="G67" s="202"/>
      <c r="H67" s="203"/>
      <c r="I67" s="203"/>
      <c r="J67" s="202"/>
      <c r="K67" s="203"/>
      <c r="L67" s="202"/>
      <c r="N67" s="112"/>
      <c r="O67" s="168"/>
      <c r="P67" s="103"/>
      <c r="Q67" s="112"/>
      <c r="R67" s="168"/>
      <c r="S67" s="103"/>
      <c r="T67" s="112"/>
      <c r="U67" s="168"/>
      <c r="V67" s="230"/>
      <c r="W67" s="103"/>
      <c r="X67" s="112"/>
      <c r="Y67" s="168"/>
      <c r="Z67" s="103"/>
      <c r="AA67" s="141"/>
    </row>
    <row r="68" spans="1:27" ht="16.5" thickBot="1" x14ac:dyDescent="0.3">
      <c r="A68" s="5"/>
      <c r="B68" s="20"/>
      <c r="C68" s="36" t="str">
        <f>'for Dist_SPS'!J20</f>
        <v>Save 330</v>
      </c>
      <c r="D68" s="73"/>
      <c r="E68" s="74"/>
      <c r="F68" s="75"/>
      <c r="G68" s="74"/>
      <c r="H68" s="75"/>
      <c r="I68" s="75"/>
      <c r="J68" s="74"/>
      <c r="K68" s="75"/>
      <c r="L68" s="74"/>
      <c r="N68" s="115"/>
      <c r="O68" s="130"/>
      <c r="P68" s="106"/>
      <c r="Q68" s="115"/>
      <c r="R68" s="130"/>
      <c r="S68" s="106"/>
      <c r="T68" s="115"/>
      <c r="U68" s="130"/>
      <c r="V68" s="231"/>
      <c r="W68" s="106"/>
      <c r="X68" s="116"/>
      <c r="Y68" s="130"/>
      <c r="Z68" s="106"/>
    </row>
    <row r="69" spans="1:27" x14ac:dyDescent="0.25"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7" x14ac:dyDescent="0.25">
      <c r="N70" s="117"/>
      <c r="O70" s="117">
        <f>SUM(O54:O69)</f>
        <v>786849.99999999988</v>
      </c>
      <c r="P70" s="117">
        <f>SUM(P54:P69)</f>
        <v>2112900</v>
      </c>
      <c r="Q70" s="117"/>
      <c r="R70" s="117">
        <f>SUM(R54:R69)</f>
        <v>622650</v>
      </c>
      <c r="S70" s="117">
        <f>SUM(S54:S69)</f>
        <v>1326050</v>
      </c>
      <c r="T70" s="117"/>
      <c r="U70" s="117">
        <f>SUM(U54:U69)</f>
        <v>163400</v>
      </c>
      <c r="V70" s="117">
        <f>SUM(V54:V69)</f>
        <v>163400</v>
      </c>
      <c r="W70" s="117">
        <f>SUM(W54:W69)</f>
        <v>703400.00000000012</v>
      </c>
      <c r="X70" s="117"/>
      <c r="Y70" s="117">
        <f>SUM(Y54:Y69)</f>
        <v>163400</v>
      </c>
      <c r="Z70" s="117">
        <f>SUM(Z54:Z69)</f>
        <v>376600.00000000012</v>
      </c>
    </row>
    <row r="71" spans="1:27" x14ac:dyDescent="0.25">
      <c r="B71" s="35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117"/>
    </row>
    <row r="72" spans="1:27" x14ac:dyDescent="0.25">
      <c r="B72" s="35"/>
      <c r="N72" s="117"/>
      <c r="O72" s="151">
        <f>O70/P70</f>
        <v>0.37240285863031847</v>
      </c>
      <c r="R72" s="151">
        <f>R70/S70</f>
        <v>0.46955243014969272</v>
      </c>
      <c r="U72" s="151">
        <f>(U70+V70)/W70</f>
        <v>0.46460051179982931</v>
      </c>
      <c r="V72" s="151"/>
      <c r="Y72" s="151">
        <f>Y70/Z70</f>
        <v>0.4338821030270843</v>
      </c>
      <c r="Z72" s="117"/>
    </row>
    <row r="73" spans="1:27" x14ac:dyDescent="0.25">
      <c r="B73" s="35" t="s">
        <v>6</v>
      </c>
      <c r="N73" s="117"/>
      <c r="O73" s="117"/>
      <c r="P73" s="117"/>
      <c r="Q73" s="117"/>
      <c r="R73" s="117"/>
      <c r="S73" s="117"/>
      <c r="T73" s="117"/>
      <c r="U73" s="117"/>
      <c r="V73" s="117"/>
      <c r="W73" s="117"/>
      <c r="X73" s="117"/>
      <c r="Y73" s="117"/>
      <c r="Z73" s="117"/>
    </row>
    <row r="74" spans="1:27" ht="16.5" thickBot="1" x14ac:dyDescent="0.3">
      <c r="A74" s="2"/>
      <c r="B74" s="2"/>
      <c r="C74" s="2"/>
      <c r="D74" s="38">
        <v>0.15</v>
      </c>
      <c r="E74" s="2"/>
      <c r="F74" s="38">
        <v>0.35</v>
      </c>
      <c r="G74" s="2"/>
      <c r="H74" s="38">
        <v>0.1</v>
      </c>
      <c r="I74" s="38"/>
      <c r="J74" s="38"/>
      <c r="K74" s="38">
        <v>0.1</v>
      </c>
      <c r="L74" s="2"/>
      <c r="P74" s="95" t="s">
        <v>67</v>
      </c>
      <c r="S74" s="95" t="s">
        <v>88</v>
      </c>
      <c r="W74" s="95" t="s">
        <v>56</v>
      </c>
      <c r="Z74" s="122" t="s">
        <v>57</v>
      </c>
    </row>
    <row r="75" spans="1:27" s="2" customFormat="1" ht="15" x14ac:dyDescent="0.25">
      <c r="A75" s="8"/>
      <c r="B75" s="8" t="s">
        <v>5</v>
      </c>
      <c r="C75" s="39" t="s">
        <v>27</v>
      </c>
      <c r="D75" s="42" t="s">
        <v>32</v>
      </c>
      <c r="E75" s="43" t="s">
        <v>28</v>
      </c>
      <c r="F75" s="63" t="s">
        <v>32</v>
      </c>
      <c r="G75" s="83" t="s">
        <v>29</v>
      </c>
      <c r="H75" s="42" t="s">
        <v>32</v>
      </c>
      <c r="I75" s="42" t="s">
        <v>89</v>
      </c>
      <c r="J75" s="43" t="s">
        <v>30</v>
      </c>
      <c r="K75" s="63" t="s">
        <v>32</v>
      </c>
      <c r="L75" s="43" t="s">
        <v>31</v>
      </c>
      <c r="N75" s="109" t="s">
        <v>58</v>
      </c>
      <c r="O75" s="129" t="s">
        <v>32</v>
      </c>
      <c r="P75" s="110" t="s">
        <v>55</v>
      </c>
      <c r="Q75" s="109" t="s">
        <v>58</v>
      </c>
      <c r="R75" s="129" t="s">
        <v>32</v>
      </c>
      <c r="S75" s="110" t="s">
        <v>55</v>
      </c>
      <c r="T75" s="109" t="s">
        <v>58</v>
      </c>
      <c r="U75" s="220" t="s">
        <v>32</v>
      </c>
      <c r="V75" s="212" t="s">
        <v>89</v>
      </c>
      <c r="W75" s="110" t="s">
        <v>55</v>
      </c>
      <c r="X75" s="109" t="s">
        <v>66</v>
      </c>
      <c r="Y75" s="129" t="s">
        <v>32</v>
      </c>
      <c r="Z75" s="110" t="s">
        <v>55</v>
      </c>
    </row>
    <row r="76" spans="1:27" s="2" customFormat="1" x14ac:dyDescent="0.25">
      <c r="A76" s="6">
        <v>1</v>
      </c>
      <c r="B76" s="274" t="s">
        <v>132</v>
      </c>
      <c r="C76" s="53">
        <f>'for Dist_SPS'!J18</f>
        <v>3558</v>
      </c>
      <c r="D76" s="57">
        <f>C76*D74</f>
        <v>533.69999999999993</v>
      </c>
      <c r="E76" s="45">
        <f>C76-D76</f>
        <v>3024.3</v>
      </c>
      <c r="F76" s="76">
        <f>C76*F74</f>
        <v>1245.3</v>
      </c>
      <c r="G76" s="84">
        <f>E76-F76</f>
        <v>1779.0000000000002</v>
      </c>
      <c r="H76" s="44">
        <f>C76*H74</f>
        <v>355.8</v>
      </c>
      <c r="I76" s="44">
        <f>C76*H74</f>
        <v>355.8</v>
      </c>
      <c r="J76" s="45">
        <f>G76-H76-I76</f>
        <v>1067.4000000000003</v>
      </c>
      <c r="K76" s="76">
        <f>C76*K74</f>
        <v>355.8</v>
      </c>
      <c r="L76" s="45">
        <f>J76-K76</f>
        <v>711.60000000000036</v>
      </c>
      <c r="N76" s="121">
        <v>0</v>
      </c>
      <c r="O76" s="118">
        <f>E76*N76</f>
        <v>0</v>
      </c>
      <c r="P76" s="107">
        <v>0</v>
      </c>
      <c r="Q76" s="121">
        <v>0</v>
      </c>
      <c r="R76" s="118">
        <f>H76*Q76</f>
        <v>0</v>
      </c>
      <c r="S76" s="107">
        <v>0</v>
      </c>
      <c r="T76" s="121">
        <v>0</v>
      </c>
      <c r="U76" s="221">
        <f>H76*T76</f>
        <v>0</v>
      </c>
      <c r="V76" s="227">
        <v>0</v>
      </c>
      <c r="W76" s="107">
        <f>E76*T76</f>
        <v>0</v>
      </c>
      <c r="X76" s="111">
        <v>0</v>
      </c>
      <c r="Y76" s="118">
        <v>0</v>
      </c>
      <c r="Z76" s="107">
        <f>X76*L76</f>
        <v>0</v>
      </c>
    </row>
    <row r="77" spans="1:27" s="2" customFormat="1" x14ac:dyDescent="0.25">
      <c r="A77" s="6">
        <v>2</v>
      </c>
      <c r="B77" s="37" t="s">
        <v>0</v>
      </c>
      <c r="C77" s="54">
        <f>'for Dist_SPS'!J27</f>
        <v>350</v>
      </c>
      <c r="D77" s="58">
        <v>350</v>
      </c>
      <c r="E77" s="47">
        <v>0</v>
      </c>
      <c r="F77" s="77" t="s">
        <v>33</v>
      </c>
      <c r="G77" s="40" t="s">
        <v>33</v>
      </c>
      <c r="H77" s="46" t="s">
        <v>33</v>
      </c>
      <c r="I77" s="211" t="s">
        <v>33</v>
      </c>
      <c r="J77" s="47" t="s">
        <v>33</v>
      </c>
      <c r="K77" s="77" t="s">
        <v>33</v>
      </c>
      <c r="L77" s="47" t="s">
        <v>33</v>
      </c>
      <c r="N77" s="131">
        <f>(N63+N66)*0.5</f>
        <v>75</v>
      </c>
      <c r="O77" s="123">
        <f>D77*N77</f>
        <v>26250</v>
      </c>
      <c r="P77" s="123">
        <f>C77*N77</f>
        <v>26250</v>
      </c>
      <c r="Q77" s="131" t="s">
        <v>33</v>
      </c>
      <c r="R77" s="123" t="s">
        <v>33</v>
      </c>
      <c r="S77" s="123" t="s">
        <v>33</v>
      </c>
      <c r="T77" s="131" t="s">
        <v>33</v>
      </c>
      <c r="U77" s="216" t="s">
        <v>33</v>
      </c>
      <c r="V77" s="239" t="s">
        <v>33</v>
      </c>
      <c r="W77" s="236" t="s">
        <v>33</v>
      </c>
      <c r="X77" s="131" t="s">
        <v>33</v>
      </c>
      <c r="Y77" s="123" t="s">
        <v>33</v>
      </c>
      <c r="Z77" s="132" t="s">
        <v>33</v>
      </c>
      <c r="AA77" s="141" t="s">
        <v>59</v>
      </c>
    </row>
    <row r="78" spans="1:27" s="2" customFormat="1" x14ac:dyDescent="0.25">
      <c r="A78" s="4">
        <v>3</v>
      </c>
      <c r="B78" s="37" t="s">
        <v>16</v>
      </c>
      <c r="C78" s="40">
        <f>'for Dist_SPS'!J28</f>
        <v>500</v>
      </c>
      <c r="D78" s="57">
        <f>C78*D74</f>
        <v>75</v>
      </c>
      <c r="E78" s="45">
        <f>C78-D78</f>
        <v>425</v>
      </c>
      <c r="F78" s="76">
        <f>C78*F74</f>
        <v>175</v>
      </c>
      <c r="G78" s="84">
        <f>E78-F78</f>
        <v>250</v>
      </c>
      <c r="H78" s="44">
        <f>C78*H74</f>
        <v>50</v>
      </c>
      <c r="I78" s="44">
        <f>C78*H74</f>
        <v>50</v>
      </c>
      <c r="J78" s="45">
        <f>G78-H78-I78</f>
        <v>150</v>
      </c>
      <c r="K78" s="76">
        <f>C78*K74</f>
        <v>50</v>
      </c>
      <c r="L78" s="45">
        <f>J78-K78</f>
        <v>100</v>
      </c>
      <c r="N78" s="131">
        <f>0.1*N52</f>
        <v>50</v>
      </c>
      <c r="O78" s="123">
        <f>D78*N78</f>
        <v>3750</v>
      </c>
      <c r="P78" s="123">
        <f>C78*N78</f>
        <v>25000</v>
      </c>
      <c r="Q78" s="131">
        <f>0.1*Q52</f>
        <v>50</v>
      </c>
      <c r="R78" s="123">
        <f>F78*N78</f>
        <v>8750</v>
      </c>
      <c r="S78" s="123">
        <f>E78*Q78</f>
        <v>21250</v>
      </c>
      <c r="T78" s="131">
        <f>0.1*T52</f>
        <v>50</v>
      </c>
      <c r="U78" s="216">
        <f>H78*T78</f>
        <v>2500</v>
      </c>
      <c r="V78" s="239">
        <f>I78*T78</f>
        <v>2500</v>
      </c>
      <c r="W78" s="236">
        <f>G78*T78</f>
        <v>12500</v>
      </c>
      <c r="X78" s="131">
        <f>0.1*X52</f>
        <v>50</v>
      </c>
      <c r="Y78" s="123">
        <f>K78*X78</f>
        <v>2500</v>
      </c>
      <c r="Z78" s="142">
        <f>J78*X78</f>
        <v>7500</v>
      </c>
      <c r="AA78" s="141" t="s">
        <v>87</v>
      </c>
    </row>
    <row r="79" spans="1:27" s="2" customFormat="1" x14ac:dyDescent="0.25">
      <c r="A79" s="23">
        <v>4</v>
      </c>
      <c r="B79" s="4" t="s">
        <v>38</v>
      </c>
      <c r="C79" s="55">
        <f>'for Dist_SPS'!J29</f>
        <v>550</v>
      </c>
      <c r="D79" s="52">
        <v>550</v>
      </c>
      <c r="E79" s="47">
        <v>0</v>
      </c>
      <c r="F79" s="77" t="s">
        <v>33</v>
      </c>
      <c r="G79" s="40" t="s">
        <v>33</v>
      </c>
      <c r="H79" s="46" t="s">
        <v>33</v>
      </c>
      <c r="I79" s="211" t="s">
        <v>33</v>
      </c>
      <c r="J79" s="47" t="s">
        <v>33</v>
      </c>
      <c r="K79" s="77" t="s">
        <v>33</v>
      </c>
      <c r="L79" s="47" t="s">
        <v>33</v>
      </c>
      <c r="N79" s="131">
        <f>0.3*N66</f>
        <v>15</v>
      </c>
      <c r="O79" s="123">
        <f>D79*N79</f>
        <v>8250</v>
      </c>
      <c r="P79" s="123">
        <f>C79*N79</f>
        <v>8250</v>
      </c>
      <c r="Q79" s="131" t="s">
        <v>33</v>
      </c>
      <c r="R79" s="123" t="s">
        <v>33</v>
      </c>
      <c r="S79" s="123" t="s">
        <v>33</v>
      </c>
      <c r="T79" s="131" t="s">
        <v>33</v>
      </c>
      <c r="U79" s="216" t="s">
        <v>33</v>
      </c>
      <c r="V79" s="239" t="s">
        <v>33</v>
      </c>
      <c r="W79" s="166" t="s">
        <v>33</v>
      </c>
      <c r="X79" s="131" t="s">
        <v>33</v>
      </c>
      <c r="Y79" s="123" t="s">
        <v>33</v>
      </c>
      <c r="Z79" s="142" t="s">
        <v>33</v>
      </c>
      <c r="AA79" s="141" t="s">
        <v>61</v>
      </c>
    </row>
    <row r="80" spans="1:27" s="2" customFormat="1" x14ac:dyDescent="0.25">
      <c r="A80" s="23">
        <v>5</v>
      </c>
      <c r="B80" s="92" t="s">
        <v>48</v>
      </c>
      <c r="C80" s="288">
        <v>150</v>
      </c>
      <c r="D80" s="94" t="s">
        <v>33</v>
      </c>
      <c r="E80" s="93" t="s">
        <v>33</v>
      </c>
      <c r="F80" s="94" t="s">
        <v>33</v>
      </c>
      <c r="G80" s="93" t="s">
        <v>33</v>
      </c>
      <c r="H80" s="46">
        <v>150</v>
      </c>
      <c r="I80" s="211" t="s">
        <v>33</v>
      </c>
      <c r="J80" s="47">
        <v>0</v>
      </c>
      <c r="K80" s="100" t="s">
        <v>33</v>
      </c>
      <c r="L80" s="93" t="s">
        <v>33</v>
      </c>
      <c r="N80" s="131" t="s">
        <v>33</v>
      </c>
      <c r="O80" s="123" t="s">
        <v>33</v>
      </c>
      <c r="P80" s="123" t="s">
        <v>33</v>
      </c>
      <c r="Q80" s="131" t="s">
        <v>33</v>
      </c>
      <c r="R80" s="123" t="s">
        <v>33</v>
      </c>
      <c r="S80" s="123" t="s">
        <v>33</v>
      </c>
      <c r="T80" s="131">
        <f>T52*0.2</f>
        <v>100</v>
      </c>
      <c r="U80" s="216">
        <f>H80*T80</f>
        <v>15000</v>
      </c>
      <c r="V80" s="239" t="s">
        <v>33</v>
      </c>
      <c r="W80" s="236">
        <f>C80*T80</f>
        <v>15000</v>
      </c>
      <c r="X80" s="131" t="s">
        <v>33</v>
      </c>
      <c r="Y80" s="123" t="s">
        <v>33</v>
      </c>
      <c r="Z80" s="142" t="s">
        <v>33</v>
      </c>
      <c r="AA80" s="141" t="s">
        <v>86</v>
      </c>
    </row>
    <row r="81" spans="1:31" s="2" customFormat="1" x14ac:dyDescent="0.25">
      <c r="A81" s="13">
        <v>6</v>
      </c>
      <c r="B81" s="4" t="s">
        <v>7</v>
      </c>
      <c r="C81" s="55">
        <f>'for Dist_SPS'!J30</f>
        <v>280</v>
      </c>
      <c r="D81" s="52">
        <v>280</v>
      </c>
      <c r="E81" s="47">
        <v>0</v>
      </c>
      <c r="F81" s="77" t="s">
        <v>33</v>
      </c>
      <c r="G81" s="40" t="s">
        <v>33</v>
      </c>
      <c r="H81" s="46" t="s">
        <v>33</v>
      </c>
      <c r="I81" s="211" t="s">
        <v>33</v>
      </c>
      <c r="J81" s="47" t="s">
        <v>33</v>
      </c>
      <c r="K81" s="77" t="s">
        <v>33</v>
      </c>
      <c r="L81" s="47" t="s">
        <v>33</v>
      </c>
      <c r="N81" s="134">
        <f>(N59+N63+N66)*0.2</f>
        <v>60</v>
      </c>
      <c r="O81" s="123">
        <f>D81*N81</f>
        <v>16800</v>
      </c>
      <c r="P81" s="123">
        <f>C81*N81</f>
        <v>16800</v>
      </c>
      <c r="Q81" s="131" t="s">
        <v>33</v>
      </c>
      <c r="R81" s="123" t="s">
        <v>33</v>
      </c>
      <c r="S81" s="123" t="s">
        <v>33</v>
      </c>
      <c r="T81" s="134" t="s">
        <v>33</v>
      </c>
      <c r="U81" s="217" t="s">
        <v>33</v>
      </c>
      <c r="V81" s="240" t="s">
        <v>33</v>
      </c>
      <c r="W81" s="237" t="s">
        <v>33</v>
      </c>
      <c r="X81" s="131" t="s">
        <v>33</v>
      </c>
      <c r="Y81" s="123" t="s">
        <v>33</v>
      </c>
      <c r="Z81" s="142" t="s">
        <v>33</v>
      </c>
      <c r="AA81" s="141" t="s">
        <v>60</v>
      </c>
    </row>
    <row r="82" spans="1:31" s="2" customFormat="1" x14ac:dyDescent="0.25">
      <c r="A82" s="23">
        <v>7</v>
      </c>
      <c r="B82" s="92" t="s">
        <v>17</v>
      </c>
      <c r="C82" s="56">
        <f>'for Dist_SPS'!J31</f>
        <v>50</v>
      </c>
      <c r="D82" s="46">
        <v>50</v>
      </c>
      <c r="E82" s="47" t="s">
        <v>33</v>
      </c>
      <c r="F82" s="77" t="s">
        <v>33</v>
      </c>
      <c r="G82" s="101" t="s">
        <v>33</v>
      </c>
      <c r="H82" s="94" t="s">
        <v>33</v>
      </c>
      <c r="I82" s="211" t="s">
        <v>33</v>
      </c>
      <c r="J82" s="93" t="s">
        <v>33</v>
      </c>
      <c r="K82" s="100" t="s">
        <v>53</v>
      </c>
      <c r="L82" s="93" t="s">
        <v>53</v>
      </c>
      <c r="N82" s="134">
        <f>(N59+N63+N66)*0.2</f>
        <v>60</v>
      </c>
      <c r="O82" s="123">
        <f>D82*N82</f>
        <v>3000</v>
      </c>
      <c r="P82" s="123">
        <f>C82*N82</f>
        <v>3000</v>
      </c>
      <c r="Q82" s="131" t="s">
        <v>33</v>
      </c>
      <c r="R82" s="123" t="s">
        <v>33</v>
      </c>
      <c r="S82" s="123" t="s">
        <v>33</v>
      </c>
      <c r="T82" s="134" t="s">
        <v>33</v>
      </c>
      <c r="U82" s="218" t="s">
        <v>33</v>
      </c>
      <c r="V82" s="241" t="s">
        <v>33</v>
      </c>
      <c r="W82" s="143" t="s">
        <v>33</v>
      </c>
      <c r="X82" s="131" t="s">
        <v>33</v>
      </c>
      <c r="Y82" s="123" t="s">
        <v>33</v>
      </c>
      <c r="Z82" s="142" t="s">
        <v>33</v>
      </c>
      <c r="AA82" s="141" t="s">
        <v>60</v>
      </c>
    </row>
    <row r="83" spans="1:31" s="2" customFormat="1" x14ac:dyDescent="0.25">
      <c r="A83" s="23">
        <v>8</v>
      </c>
      <c r="B83" s="287" t="s">
        <v>116</v>
      </c>
      <c r="C83" s="53">
        <f>'for Dist_SPS'!J32</f>
        <v>750</v>
      </c>
      <c r="D83" s="57">
        <v>750</v>
      </c>
      <c r="E83" s="59">
        <v>0</v>
      </c>
      <c r="F83" s="78" t="s">
        <v>33</v>
      </c>
      <c r="G83" s="85" t="s">
        <v>33</v>
      </c>
      <c r="H83" s="48" t="s">
        <v>33</v>
      </c>
      <c r="I83" s="234" t="s">
        <v>33</v>
      </c>
      <c r="J83" s="49" t="s">
        <v>33</v>
      </c>
      <c r="K83" s="78" t="s">
        <v>33</v>
      </c>
      <c r="L83" s="49" t="s">
        <v>33</v>
      </c>
      <c r="N83" s="134">
        <f>(N59+N63+N66)*0.2</f>
        <v>60</v>
      </c>
      <c r="O83" s="125">
        <f>D83*N83</f>
        <v>45000</v>
      </c>
      <c r="P83" s="143">
        <f>C83*N83</f>
        <v>45000</v>
      </c>
      <c r="Q83" s="134" t="s">
        <v>33</v>
      </c>
      <c r="R83" s="125" t="s">
        <v>33</v>
      </c>
      <c r="S83" s="143" t="s">
        <v>33</v>
      </c>
      <c r="T83" s="134" t="s">
        <v>33</v>
      </c>
      <c r="U83" s="127" t="s">
        <v>33</v>
      </c>
      <c r="V83" s="241" t="s">
        <v>33</v>
      </c>
      <c r="W83" s="143" t="s">
        <v>33</v>
      </c>
      <c r="X83" s="134" t="s">
        <v>33</v>
      </c>
      <c r="Y83" s="127" t="s">
        <v>33</v>
      </c>
      <c r="Z83" s="135" t="s">
        <v>33</v>
      </c>
      <c r="AA83" s="141" t="s">
        <v>60</v>
      </c>
    </row>
    <row r="84" spans="1:31" s="2" customFormat="1" x14ac:dyDescent="0.25">
      <c r="A84" s="21"/>
      <c r="B84" s="22" t="s">
        <v>22</v>
      </c>
      <c r="C84" s="41"/>
      <c r="D84" s="50"/>
      <c r="E84" s="51"/>
      <c r="F84" s="79"/>
      <c r="G84" s="41"/>
      <c r="H84" s="50"/>
      <c r="I84" s="209"/>
      <c r="J84" s="51"/>
      <c r="K84" s="79"/>
      <c r="L84" s="51"/>
      <c r="N84" s="104"/>
      <c r="O84" s="119"/>
      <c r="P84" s="144"/>
      <c r="Q84" s="104"/>
      <c r="R84" s="119"/>
      <c r="S84" s="144"/>
      <c r="T84" s="104"/>
      <c r="U84" s="11"/>
      <c r="V84" s="228"/>
      <c r="W84" s="144"/>
      <c r="X84" s="104"/>
      <c r="Y84" s="11"/>
      <c r="Z84" s="105"/>
    </row>
    <row r="85" spans="1:31" s="2" customFormat="1" x14ac:dyDescent="0.25">
      <c r="A85" s="22"/>
      <c r="B85" s="22" t="s">
        <v>19</v>
      </c>
      <c r="C85" s="41"/>
      <c r="D85" s="50"/>
      <c r="E85" s="51"/>
      <c r="F85" s="79"/>
      <c r="G85" s="41"/>
      <c r="H85" s="50"/>
      <c r="I85" s="209"/>
      <c r="J85" s="51"/>
      <c r="K85" s="79"/>
      <c r="L85" s="51"/>
      <c r="N85" s="104"/>
      <c r="O85" s="168"/>
      <c r="P85" s="145"/>
      <c r="Q85" s="104"/>
      <c r="R85" s="168"/>
      <c r="S85" s="145"/>
      <c r="T85" s="104"/>
      <c r="U85" s="126"/>
      <c r="V85" s="242"/>
      <c r="W85" s="145"/>
      <c r="X85" s="104"/>
      <c r="Y85" s="126"/>
      <c r="Z85" s="103"/>
    </row>
    <row r="86" spans="1:31" s="2" customFormat="1" x14ac:dyDescent="0.25">
      <c r="A86" s="22"/>
      <c r="B86" s="22" t="s">
        <v>20</v>
      </c>
      <c r="C86" s="41"/>
      <c r="D86" s="50"/>
      <c r="E86" s="51"/>
      <c r="F86" s="79"/>
      <c r="G86" s="41"/>
      <c r="H86" s="50"/>
      <c r="I86" s="209"/>
      <c r="J86" s="51"/>
      <c r="K86" s="79"/>
      <c r="L86" s="51"/>
      <c r="N86" s="136"/>
      <c r="O86" s="120"/>
      <c r="P86" s="146"/>
      <c r="Q86" s="136"/>
      <c r="R86" s="120"/>
      <c r="S86" s="146"/>
      <c r="T86" s="136"/>
      <c r="U86" s="128"/>
      <c r="V86" s="229"/>
      <c r="W86" s="146"/>
      <c r="X86" s="136"/>
      <c r="Y86" s="128"/>
      <c r="Z86" s="108"/>
    </row>
    <row r="87" spans="1:31" s="2" customFormat="1" x14ac:dyDescent="0.25">
      <c r="A87" s="4">
        <v>9</v>
      </c>
      <c r="B87" s="4" t="s">
        <v>23</v>
      </c>
      <c r="C87" s="55">
        <f>'for Dist_SPS'!J36</f>
        <v>1150</v>
      </c>
      <c r="D87" s="52">
        <f>C87*D74</f>
        <v>172.5</v>
      </c>
      <c r="E87" s="45">
        <f>C87-D87</f>
        <v>977.5</v>
      </c>
      <c r="F87" s="80">
        <f>C87*F74</f>
        <v>402.5</v>
      </c>
      <c r="G87" s="84">
        <f>E87-F87</f>
        <v>575</v>
      </c>
      <c r="H87" s="52">
        <f>C87*H74</f>
        <v>115</v>
      </c>
      <c r="I87" s="52">
        <f>C87*H74</f>
        <v>115</v>
      </c>
      <c r="J87" s="45">
        <f>G87-H87-I87</f>
        <v>345</v>
      </c>
      <c r="K87" s="80">
        <f>C87*K74</f>
        <v>115</v>
      </c>
      <c r="L87" s="45">
        <f>J87-K87</f>
        <v>230</v>
      </c>
      <c r="N87" s="167" t="s">
        <v>33</v>
      </c>
      <c r="O87" s="123" t="s">
        <v>33</v>
      </c>
      <c r="P87" s="166" t="s">
        <v>33</v>
      </c>
      <c r="Q87" s="167" t="s">
        <v>33</v>
      </c>
      <c r="R87" s="123" t="s">
        <v>33</v>
      </c>
      <c r="S87" s="166" t="s">
        <v>33</v>
      </c>
      <c r="T87" s="131" t="s">
        <v>33</v>
      </c>
      <c r="U87" s="216" t="s">
        <v>33</v>
      </c>
      <c r="V87" s="239" t="s">
        <v>33</v>
      </c>
      <c r="W87" s="166" t="s">
        <v>33</v>
      </c>
      <c r="X87" s="131" t="s">
        <v>33</v>
      </c>
      <c r="Y87" s="123" t="s">
        <v>33</v>
      </c>
      <c r="Z87" s="132" t="s">
        <v>33</v>
      </c>
    </row>
    <row r="88" spans="1:31" s="2" customFormat="1" x14ac:dyDescent="0.25">
      <c r="A88" s="4">
        <v>10</v>
      </c>
      <c r="B88" s="4" t="s">
        <v>47</v>
      </c>
      <c r="C88" s="55">
        <f>'for Dist_SPS'!J37</f>
        <v>100</v>
      </c>
      <c r="D88" s="52">
        <f>C88*D74</f>
        <v>15</v>
      </c>
      <c r="E88" s="81">
        <f>C88-D88</f>
        <v>85</v>
      </c>
      <c r="F88" s="80">
        <f>C88*F74</f>
        <v>35</v>
      </c>
      <c r="G88" s="86">
        <f>E88-F88</f>
        <v>50</v>
      </c>
      <c r="H88" s="52">
        <f>C88*H74</f>
        <v>10</v>
      </c>
      <c r="I88" s="52">
        <f>C88*H74</f>
        <v>10</v>
      </c>
      <c r="J88" s="81">
        <f>G88-H88-I88</f>
        <v>30</v>
      </c>
      <c r="K88" s="80">
        <f>C88*K74</f>
        <v>10</v>
      </c>
      <c r="L88" s="81">
        <f>J88-K88</f>
        <v>20</v>
      </c>
      <c r="N88" s="131">
        <f>0.1*N52</f>
        <v>50</v>
      </c>
      <c r="O88" s="123">
        <f>D88*N88</f>
        <v>750</v>
      </c>
      <c r="P88" s="123">
        <f>C88*N88</f>
        <v>5000</v>
      </c>
      <c r="Q88" s="131">
        <f>0.1*Q52</f>
        <v>50</v>
      </c>
      <c r="R88" s="123">
        <f>F88*N88</f>
        <v>1750</v>
      </c>
      <c r="S88" s="123">
        <f>E88*Q88</f>
        <v>4250</v>
      </c>
      <c r="T88" s="131">
        <f>0.1*T52</f>
        <v>50</v>
      </c>
      <c r="U88" s="217">
        <f>H88*T88</f>
        <v>500</v>
      </c>
      <c r="V88" s="240">
        <f>I88*T88</f>
        <v>500</v>
      </c>
      <c r="W88" s="236">
        <f>G88*T88</f>
        <v>2500</v>
      </c>
      <c r="X88" s="131">
        <f>0.1*X52</f>
        <v>50</v>
      </c>
      <c r="Y88" s="124">
        <f>K88*X88</f>
        <v>500</v>
      </c>
      <c r="Z88" s="133">
        <f>X88*J88</f>
        <v>1500</v>
      </c>
      <c r="AA88" s="141" t="s">
        <v>87</v>
      </c>
    </row>
    <row r="89" spans="1:31" s="2" customFormat="1" x14ac:dyDescent="0.25">
      <c r="A89" s="4">
        <v>11</v>
      </c>
      <c r="B89" s="4" t="s">
        <v>35</v>
      </c>
      <c r="C89" s="55">
        <v>300</v>
      </c>
      <c r="D89" s="46" t="s">
        <v>33</v>
      </c>
      <c r="E89" s="81" t="s">
        <v>33</v>
      </c>
      <c r="F89" s="80">
        <v>300</v>
      </c>
      <c r="G89" s="86">
        <v>0</v>
      </c>
      <c r="H89" s="52" t="s">
        <v>33</v>
      </c>
      <c r="I89" s="233" t="s">
        <v>33</v>
      </c>
      <c r="J89" s="81" t="s">
        <v>33</v>
      </c>
      <c r="K89" s="80" t="s">
        <v>33</v>
      </c>
      <c r="L89" s="81" t="s">
        <v>33</v>
      </c>
      <c r="N89" s="167" t="s">
        <v>33</v>
      </c>
      <c r="O89" s="123" t="s">
        <v>33</v>
      </c>
      <c r="P89" s="166" t="s">
        <v>33</v>
      </c>
      <c r="Q89" s="131">
        <f>0.1*Q52</f>
        <v>50</v>
      </c>
      <c r="R89" s="123">
        <f>F89*Q89</f>
        <v>15000</v>
      </c>
      <c r="S89" s="166">
        <f>C89*Q89</f>
        <v>15000</v>
      </c>
      <c r="T89" s="131" t="s">
        <v>33</v>
      </c>
      <c r="U89" s="216" t="s">
        <v>33</v>
      </c>
      <c r="V89" s="239" t="s">
        <v>33</v>
      </c>
      <c r="W89" s="166" t="s">
        <v>33</v>
      </c>
      <c r="X89" s="131" t="s">
        <v>33</v>
      </c>
      <c r="Y89" s="123" t="s">
        <v>33</v>
      </c>
      <c r="Z89" s="132" t="s">
        <v>33</v>
      </c>
      <c r="AA89" s="141" t="s">
        <v>87</v>
      </c>
    </row>
    <row r="90" spans="1:31" s="2" customFormat="1" x14ac:dyDescent="0.25">
      <c r="A90" s="4">
        <v>12</v>
      </c>
      <c r="B90" s="96" t="s">
        <v>52</v>
      </c>
      <c r="C90" s="55">
        <v>600</v>
      </c>
      <c r="D90" s="46" t="s">
        <v>33</v>
      </c>
      <c r="E90" s="81" t="s">
        <v>33</v>
      </c>
      <c r="F90" s="80" t="s">
        <v>33</v>
      </c>
      <c r="G90" s="86" t="s">
        <v>33</v>
      </c>
      <c r="H90" s="52">
        <v>600</v>
      </c>
      <c r="I90" s="215"/>
      <c r="J90" s="81">
        <v>0</v>
      </c>
      <c r="K90" s="207" t="s">
        <v>33</v>
      </c>
      <c r="L90" s="208" t="s">
        <v>33</v>
      </c>
      <c r="N90" s="167" t="s">
        <v>33</v>
      </c>
      <c r="O90" s="123" t="s">
        <v>33</v>
      </c>
      <c r="P90" s="166" t="s">
        <v>33</v>
      </c>
      <c r="Q90" s="167" t="s">
        <v>33</v>
      </c>
      <c r="R90" s="123" t="s">
        <v>33</v>
      </c>
      <c r="S90" s="166" t="s">
        <v>33</v>
      </c>
      <c r="T90" s="131">
        <f>0.1*T52</f>
        <v>50</v>
      </c>
      <c r="U90" s="216">
        <f>H90*T90</f>
        <v>30000</v>
      </c>
      <c r="V90" s="239" t="s">
        <v>33</v>
      </c>
      <c r="W90" s="166">
        <f>C90*T90</f>
        <v>30000</v>
      </c>
      <c r="X90" s="131" t="s">
        <v>33</v>
      </c>
      <c r="Y90" s="123" t="s">
        <v>33</v>
      </c>
      <c r="Z90" s="132" t="s">
        <v>33</v>
      </c>
      <c r="AA90" s="141" t="s">
        <v>87</v>
      </c>
      <c r="AB90" s="1"/>
      <c r="AC90" s="1"/>
      <c r="AD90" s="1"/>
      <c r="AE90" s="1"/>
    </row>
    <row r="91" spans="1:31" x14ac:dyDescent="0.25">
      <c r="A91" s="4">
        <v>13</v>
      </c>
      <c r="B91" s="4" t="s">
        <v>40</v>
      </c>
      <c r="C91" s="40" t="s">
        <v>33</v>
      </c>
      <c r="D91" s="46" t="s">
        <v>33</v>
      </c>
      <c r="E91" s="81" t="s">
        <v>42</v>
      </c>
      <c r="F91" s="77" t="s">
        <v>33</v>
      </c>
      <c r="G91" s="86" t="s">
        <v>43</v>
      </c>
      <c r="H91" s="46" t="s">
        <v>33</v>
      </c>
      <c r="I91" s="211" t="s">
        <v>33</v>
      </c>
      <c r="J91" s="81" t="s">
        <v>33</v>
      </c>
      <c r="K91" s="77" t="s">
        <v>33</v>
      </c>
      <c r="L91" s="81" t="s">
        <v>33</v>
      </c>
      <c r="N91" s="167" t="s">
        <v>33</v>
      </c>
      <c r="O91" s="123" t="s">
        <v>33</v>
      </c>
      <c r="P91" s="166" t="s">
        <v>33</v>
      </c>
      <c r="Q91" s="167" t="s">
        <v>33</v>
      </c>
      <c r="R91" s="123" t="s">
        <v>33</v>
      </c>
      <c r="S91" s="166" t="s">
        <v>33</v>
      </c>
      <c r="T91" s="131" t="s">
        <v>33</v>
      </c>
      <c r="U91" s="216" t="s">
        <v>33</v>
      </c>
      <c r="V91" s="239" t="s">
        <v>33</v>
      </c>
      <c r="W91" s="166" t="s">
        <v>33</v>
      </c>
      <c r="X91" s="131" t="s">
        <v>33</v>
      </c>
      <c r="Y91" s="123" t="s">
        <v>33</v>
      </c>
      <c r="Z91" s="132" t="s">
        <v>33</v>
      </c>
    </row>
    <row r="92" spans="1:31" ht="16.5" thickBot="1" x14ac:dyDescent="0.3">
      <c r="A92" s="4">
        <v>14</v>
      </c>
      <c r="B92" s="4" t="s">
        <v>41</v>
      </c>
      <c r="C92" s="87" t="s">
        <v>33</v>
      </c>
      <c r="D92" s="88" t="s">
        <v>33</v>
      </c>
      <c r="E92" s="89" t="s">
        <v>43</v>
      </c>
      <c r="F92" s="90" t="s">
        <v>33</v>
      </c>
      <c r="G92" s="91" t="s">
        <v>33</v>
      </c>
      <c r="H92" s="88" t="s">
        <v>33</v>
      </c>
      <c r="I92" s="232" t="s">
        <v>33</v>
      </c>
      <c r="J92" s="89" t="s">
        <v>33</v>
      </c>
      <c r="K92" s="90" t="s">
        <v>33</v>
      </c>
      <c r="L92" s="89" t="s">
        <v>33</v>
      </c>
      <c r="N92" s="137" t="s">
        <v>33</v>
      </c>
      <c r="O92" s="138" t="s">
        <v>33</v>
      </c>
      <c r="P92" s="148" t="s">
        <v>33</v>
      </c>
      <c r="Q92" s="137" t="s">
        <v>33</v>
      </c>
      <c r="R92" s="138" t="s">
        <v>33</v>
      </c>
      <c r="S92" s="148" t="s">
        <v>33</v>
      </c>
      <c r="T92" s="137" t="s">
        <v>33</v>
      </c>
      <c r="U92" s="219" t="s">
        <v>33</v>
      </c>
      <c r="V92" s="243" t="s">
        <v>33</v>
      </c>
      <c r="W92" s="238" t="s">
        <v>33</v>
      </c>
      <c r="X92" s="140" t="s">
        <v>33</v>
      </c>
      <c r="Y92" s="138" t="s">
        <v>33</v>
      </c>
      <c r="Z92" s="139" t="s">
        <v>33</v>
      </c>
    </row>
    <row r="94" spans="1:31" x14ac:dyDescent="0.25">
      <c r="O94" s="117">
        <f>SUM(O76:O92)</f>
        <v>103800</v>
      </c>
      <c r="P94" s="117">
        <f>SUM(P76:P92)</f>
        <v>129300</v>
      </c>
      <c r="R94" s="117">
        <f>SUM(R76:R92)</f>
        <v>25500</v>
      </c>
      <c r="S94" s="117">
        <f>SUM(S76:S92)</f>
        <v>40500</v>
      </c>
      <c r="T94" s="117"/>
      <c r="U94" s="117">
        <f>SUM(U76:U92)</f>
        <v>48000</v>
      </c>
      <c r="V94" s="117">
        <f>SUM(V76:V93)</f>
        <v>3000</v>
      </c>
      <c r="W94" s="117">
        <f>SUM(W76:W92)</f>
        <v>60000</v>
      </c>
      <c r="X94" s="117"/>
      <c r="Y94" s="117">
        <f>SUM(Y76:Y92)</f>
        <v>3000</v>
      </c>
      <c r="Z94" s="117">
        <f>SUM(Z76:Z92)</f>
        <v>9000</v>
      </c>
    </row>
    <row r="96" spans="1:31" x14ac:dyDescent="0.25">
      <c r="O96" s="151">
        <f>O94/P94</f>
        <v>0.80278422273781902</v>
      </c>
      <c r="R96" s="151">
        <f>R94/S94</f>
        <v>0.62962962962962965</v>
      </c>
      <c r="U96" s="151">
        <f>(U94+V94)/W94</f>
        <v>0.85</v>
      </c>
      <c r="V96" s="151"/>
      <c r="Y96" s="151">
        <f>Y94/Z94</f>
        <v>0.33333333333333331</v>
      </c>
    </row>
    <row r="99" spans="10:26" x14ac:dyDescent="0.25">
      <c r="J99" s="1" t="s">
        <v>62</v>
      </c>
      <c r="O99" s="117">
        <f>O22+O47+O70+O94</f>
        <v>2053200</v>
      </c>
      <c r="P99" s="117">
        <f>P22+P47+P70+P94</f>
        <v>5430100</v>
      </c>
      <c r="R99" s="117">
        <f>R22+R47+R70+R94</f>
        <v>1624200</v>
      </c>
      <c r="S99" s="117">
        <f>S22+S47+S70+S94</f>
        <v>3421900</v>
      </c>
      <c r="T99" s="117"/>
      <c r="U99" s="117">
        <f>U22+U47+U70+U94</f>
        <v>532700</v>
      </c>
      <c r="V99" s="117"/>
      <c r="W99" s="117">
        <f>W22+W47+W70+W94</f>
        <v>1914700</v>
      </c>
      <c r="Y99" s="117">
        <f>Y22+Y47+Y70+Y94</f>
        <v>415700</v>
      </c>
      <c r="Z99" s="117">
        <f>Z22+Z47+Z70+Z94</f>
        <v>966300.00000000035</v>
      </c>
    </row>
    <row r="100" spans="10:26" x14ac:dyDescent="0.25">
      <c r="O100" s="1" t="s">
        <v>63</v>
      </c>
      <c r="R100" s="117">
        <f>R99-R42-R89</f>
        <v>1579200</v>
      </c>
      <c r="S100" s="117">
        <f>S99-S42-S89</f>
        <v>3376900</v>
      </c>
      <c r="U100" s="117">
        <f>U99-U33-U43-U80-U90</f>
        <v>415700</v>
      </c>
      <c r="V100" s="117"/>
      <c r="W100" s="117">
        <f>W99-W33-W43-W80-W90</f>
        <v>1797700</v>
      </c>
    </row>
    <row r="101" spans="10:26" x14ac:dyDescent="0.25">
      <c r="O101" s="1" t="s">
        <v>64</v>
      </c>
      <c r="U101" s="117"/>
      <c r="V101" s="117"/>
    </row>
    <row r="102" spans="10:26" x14ac:dyDescent="0.25">
      <c r="O102" s="1" t="s">
        <v>65</v>
      </c>
    </row>
    <row r="104" spans="10:26" x14ac:dyDescent="0.25">
      <c r="O104" s="151">
        <f>O99/P99</f>
        <v>0.3781145835251653</v>
      </c>
      <c r="R104" s="151">
        <f>R99/S99</f>
        <v>0.47464858704228646</v>
      </c>
      <c r="U104" s="151">
        <f>U99/W99</f>
        <v>0.27821590849741473</v>
      </c>
      <c r="V104" s="151"/>
      <c r="Y104" s="151">
        <f>Y99/Z99</f>
        <v>0.43019766118182745</v>
      </c>
    </row>
  </sheetData>
  <pageMargins left="0.23622047244094491" right="0.15748031496062992" top="0.44" bottom="0.28000000000000003" header="0.31496062992125984" footer="0.17"/>
  <pageSetup paperSize="9" scale="44" orientation="landscape" r:id="rId1"/>
  <rowBreaks count="1" manualBreakCount="1">
    <brk id="50" max="25" man="1"/>
  </rowBreaks>
  <colBreaks count="1" manualBreakCount="1">
    <brk id="28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AJ104"/>
  <sheetViews>
    <sheetView view="pageBreakPreview" topLeftCell="A90" zoomScale="90" zoomScaleNormal="20" zoomScaleSheetLayoutView="90" workbookViewId="0">
      <selection activeCell="B112" sqref="B112"/>
    </sheetView>
  </sheetViews>
  <sheetFormatPr defaultRowHeight="15.75" x14ac:dyDescent="0.25"/>
  <cols>
    <col min="1" max="1" width="4.7109375" style="1" customWidth="1"/>
    <col min="2" max="2" width="38.85546875" style="1" bestFit="1" customWidth="1"/>
    <col min="3" max="3" width="14.7109375" style="1" bestFit="1" customWidth="1"/>
    <col min="4" max="4" width="10" style="1" bestFit="1" customWidth="1"/>
    <col min="5" max="5" width="13.85546875" style="1" bestFit="1" customWidth="1"/>
    <col min="6" max="6" width="10" style="1" bestFit="1" customWidth="1"/>
    <col min="7" max="7" width="16.85546875" style="1" bestFit="1" customWidth="1"/>
    <col min="8" max="8" width="9.5703125" style="1" bestFit="1" customWidth="1"/>
    <col min="9" max="9" width="10.85546875" style="1" bestFit="1" customWidth="1"/>
    <col min="10" max="10" width="16.28515625" style="1" bestFit="1" customWidth="1"/>
    <col min="11" max="11" width="8.7109375" style="1" bestFit="1" customWidth="1"/>
    <col min="12" max="12" width="16.85546875" style="1" bestFit="1" customWidth="1"/>
    <col min="13" max="13" width="4.42578125" style="1" customWidth="1"/>
    <col min="14" max="14" width="6.85546875" style="1" customWidth="1"/>
    <col min="15" max="16" width="14.7109375" style="1" bestFit="1" customWidth="1"/>
    <col min="17" max="17" width="6.42578125" style="1" customWidth="1"/>
    <col min="18" max="19" width="14.5703125" style="1" customWidth="1"/>
    <col min="20" max="20" width="7.5703125" style="1" bestFit="1" customWidth="1"/>
    <col min="21" max="21" width="12.85546875" style="1" bestFit="1" customWidth="1"/>
    <col min="22" max="22" width="12.7109375" style="1" customWidth="1"/>
    <col min="23" max="23" width="14.7109375" style="1" bestFit="1" customWidth="1"/>
    <col min="24" max="24" width="7.5703125" style="1" bestFit="1" customWidth="1"/>
    <col min="25" max="25" width="12.85546875" style="1" bestFit="1" customWidth="1"/>
    <col min="26" max="26" width="14.7109375" style="1" bestFit="1" customWidth="1"/>
    <col min="27" max="27" width="14.42578125" style="1" bestFit="1" customWidth="1"/>
    <col min="28" max="28" width="15.42578125" style="1" bestFit="1" customWidth="1"/>
    <col min="29" max="29" width="9.7109375" style="1" bestFit="1" customWidth="1"/>
    <col min="30" max="30" width="16.85546875" style="1" bestFit="1" customWidth="1"/>
    <col min="31" max="31" width="9.140625" style="1"/>
    <col min="32" max="32" width="10.42578125" style="1" bestFit="1" customWidth="1"/>
    <col min="33" max="33" width="31.140625" style="1" bestFit="1" customWidth="1"/>
    <col min="34" max="34" width="14.7109375" style="1" bestFit="1" customWidth="1"/>
    <col min="35" max="35" width="9.7109375" style="1" bestFit="1" customWidth="1"/>
    <col min="36" max="36" width="16.85546875" style="1" bestFit="1" customWidth="1"/>
    <col min="37" max="16384" width="9.140625" style="1"/>
  </cols>
  <sheetData>
    <row r="1" spans="1:36" x14ac:dyDescent="0.25">
      <c r="B1" s="35" t="s">
        <v>15</v>
      </c>
    </row>
    <row r="3" spans="1:36" x14ac:dyDescent="0.25">
      <c r="A3" s="10"/>
      <c r="B3" s="33" t="s">
        <v>115</v>
      </c>
      <c r="C3" s="11"/>
      <c r="D3" s="11"/>
      <c r="E3" s="10"/>
      <c r="F3" s="10"/>
      <c r="G3" s="10"/>
      <c r="H3" s="10"/>
      <c r="I3" s="10"/>
      <c r="J3" s="10"/>
      <c r="K3" s="10"/>
      <c r="L3" s="10"/>
      <c r="AF3" s="10"/>
      <c r="AG3" s="10"/>
      <c r="AH3" s="11"/>
      <c r="AI3" s="10"/>
      <c r="AJ3" s="10"/>
    </row>
    <row r="4" spans="1:36" ht="16.5" thickBot="1" x14ac:dyDescent="0.3">
      <c r="A4" s="2"/>
      <c r="B4" s="2"/>
      <c r="C4" s="66"/>
      <c r="D4" s="67">
        <v>0.15</v>
      </c>
      <c r="E4" s="67"/>
      <c r="F4" s="67">
        <v>0.35</v>
      </c>
      <c r="G4" s="67"/>
      <c r="H4" s="67">
        <v>0.1</v>
      </c>
      <c r="I4" s="67">
        <v>0.1</v>
      </c>
      <c r="J4" s="67"/>
      <c r="K4" s="67">
        <v>0.1</v>
      </c>
      <c r="L4" s="2"/>
      <c r="N4" s="1">
        <v>1500</v>
      </c>
      <c r="P4" s="95" t="s">
        <v>67</v>
      </c>
      <c r="Q4" s="1">
        <v>1500</v>
      </c>
      <c r="R4" s="95"/>
      <c r="S4" s="95" t="s">
        <v>88</v>
      </c>
      <c r="T4" s="1">
        <v>1500</v>
      </c>
      <c r="W4" s="95" t="s">
        <v>56</v>
      </c>
      <c r="X4" s="1">
        <v>1500</v>
      </c>
      <c r="Z4" s="122" t="s">
        <v>57</v>
      </c>
      <c r="AE4" s="10"/>
      <c r="AF4" s="11"/>
      <c r="AI4" s="18"/>
      <c r="AJ4" s="18"/>
    </row>
    <row r="5" spans="1:36" x14ac:dyDescent="0.25">
      <c r="A5" s="24"/>
      <c r="B5" s="8" t="s">
        <v>5</v>
      </c>
      <c r="C5" s="39" t="s">
        <v>27</v>
      </c>
      <c r="D5" s="42" t="s">
        <v>32</v>
      </c>
      <c r="E5" s="43" t="s">
        <v>28</v>
      </c>
      <c r="F5" s="42" t="s">
        <v>32</v>
      </c>
      <c r="G5" s="43" t="s">
        <v>29</v>
      </c>
      <c r="H5" s="42" t="s">
        <v>32</v>
      </c>
      <c r="I5" s="42" t="s">
        <v>89</v>
      </c>
      <c r="J5" s="43" t="s">
        <v>30</v>
      </c>
      <c r="K5" s="42" t="s">
        <v>32</v>
      </c>
      <c r="L5" s="43" t="s">
        <v>31</v>
      </c>
      <c r="N5" s="109" t="s">
        <v>54</v>
      </c>
      <c r="O5" s="129" t="s">
        <v>32</v>
      </c>
      <c r="P5" s="110" t="s">
        <v>55</v>
      </c>
      <c r="Q5" s="109" t="s">
        <v>54</v>
      </c>
      <c r="R5" s="129" t="s">
        <v>32</v>
      </c>
      <c r="S5" s="110" t="s">
        <v>55</v>
      </c>
      <c r="T5" s="109" t="s">
        <v>54</v>
      </c>
      <c r="U5" s="220" t="s">
        <v>32</v>
      </c>
      <c r="V5" s="212" t="s">
        <v>89</v>
      </c>
      <c r="W5" s="110" t="s">
        <v>55</v>
      </c>
      <c r="X5" s="109" t="s">
        <v>54</v>
      </c>
      <c r="Y5" s="129" t="s">
        <v>32</v>
      </c>
      <c r="Z5" s="110" t="s">
        <v>55</v>
      </c>
    </row>
    <row r="6" spans="1:36" s="9" customFormat="1" x14ac:dyDescent="0.25">
      <c r="A6" s="68"/>
      <c r="B6" s="273" t="s">
        <v>110</v>
      </c>
      <c r="C6" s="60">
        <f>'for Dist_SPS'!D6</f>
        <v>3180</v>
      </c>
      <c r="D6" s="64">
        <f>(C29)*D4+(C30+C32+C36)</f>
        <v>1396.45</v>
      </c>
      <c r="E6" s="69">
        <f>C6-D6</f>
        <v>1783.55</v>
      </c>
      <c r="F6" s="64">
        <f>(C29)*F4</f>
        <v>925.05</v>
      </c>
      <c r="G6" s="69">
        <f>E6-F6</f>
        <v>858.5</v>
      </c>
      <c r="H6" s="64">
        <f>(C29-300)*H4</f>
        <v>234.3</v>
      </c>
      <c r="I6" s="64">
        <f>(C29-300)*I4</f>
        <v>234.3</v>
      </c>
      <c r="J6" s="69">
        <f>G6-H6-I6</f>
        <v>389.90000000000003</v>
      </c>
      <c r="K6" s="64">
        <f>(C29-300)*K4</f>
        <v>234.3</v>
      </c>
      <c r="L6" s="69">
        <f>J6-K6</f>
        <v>155.60000000000002</v>
      </c>
      <c r="N6" s="121">
        <f>N4*0.4</f>
        <v>600</v>
      </c>
      <c r="O6" s="298">
        <f>D6*N6</f>
        <v>837870</v>
      </c>
      <c r="P6" s="299">
        <f>C6*N6</f>
        <v>1908000</v>
      </c>
      <c r="Q6" s="121">
        <f>Q4*0.4</f>
        <v>600</v>
      </c>
      <c r="R6" s="298">
        <f>F6*Q6</f>
        <v>555030</v>
      </c>
      <c r="S6" s="299">
        <f>E6*Q6</f>
        <v>1070130</v>
      </c>
      <c r="T6" s="121">
        <f>T4*0.4</f>
        <v>600</v>
      </c>
      <c r="U6" s="304">
        <f>H6*T6</f>
        <v>140580</v>
      </c>
      <c r="V6" s="305">
        <f>I6*T6</f>
        <v>140580</v>
      </c>
      <c r="W6" s="299">
        <f>G6*T6</f>
        <v>515100</v>
      </c>
      <c r="X6" s="111">
        <f>X4*0.4</f>
        <v>600</v>
      </c>
      <c r="Y6" s="298">
        <f>K6*X6</f>
        <v>140580</v>
      </c>
      <c r="Z6" s="299">
        <f>X6*J6</f>
        <v>233940.00000000003</v>
      </c>
      <c r="AA6" s="141" t="s">
        <v>90</v>
      </c>
    </row>
    <row r="7" spans="1:36" x14ac:dyDescent="0.25">
      <c r="A7" s="22"/>
      <c r="B7" s="252" t="s">
        <v>120</v>
      </c>
      <c r="C7" s="82" t="str">
        <f>'for Dist_SPS'!D7</f>
        <v>Valued at 3,888</v>
      </c>
      <c r="D7" s="70"/>
      <c r="E7" s="51"/>
      <c r="F7" s="50"/>
      <c r="G7" s="51"/>
      <c r="H7" s="50"/>
      <c r="I7" s="50"/>
      <c r="J7" s="51"/>
      <c r="K7" s="50"/>
      <c r="L7" s="51"/>
      <c r="N7" s="150"/>
      <c r="O7" s="300"/>
      <c r="P7" s="301"/>
      <c r="Q7" s="150"/>
      <c r="R7" s="300"/>
      <c r="S7" s="301"/>
      <c r="T7" s="150"/>
      <c r="U7" s="306"/>
      <c r="V7" s="307"/>
      <c r="W7" s="301"/>
      <c r="X7" s="112"/>
      <c r="Y7" s="300"/>
      <c r="Z7" s="301"/>
    </row>
    <row r="8" spans="1:36" x14ac:dyDescent="0.25">
      <c r="A8" s="22"/>
      <c r="B8" s="19" t="s">
        <v>9</v>
      </c>
      <c r="C8" s="61" t="str">
        <f>'for Dist_SPS'!D8</f>
        <v>save 702</v>
      </c>
      <c r="D8" s="70"/>
      <c r="E8" s="51"/>
      <c r="F8" s="50"/>
      <c r="G8" s="51"/>
      <c r="H8" s="50"/>
      <c r="I8" s="50"/>
      <c r="J8" s="51"/>
      <c r="K8" s="50"/>
      <c r="L8" s="51"/>
      <c r="N8" s="112"/>
      <c r="O8" s="300"/>
      <c r="P8" s="301"/>
      <c r="Q8" s="112"/>
      <c r="R8" s="300"/>
      <c r="S8" s="301"/>
      <c r="T8" s="112"/>
      <c r="U8" s="306"/>
      <c r="V8" s="307"/>
      <c r="W8" s="301"/>
      <c r="X8" s="112"/>
      <c r="Y8" s="300"/>
      <c r="Z8" s="301"/>
    </row>
    <row r="9" spans="1:36" x14ac:dyDescent="0.25">
      <c r="A9" s="22"/>
      <c r="B9" s="19" t="s">
        <v>26</v>
      </c>
      <c r="C9" s="41"/>
      <c r="D9" s="50"/>
      <c r="E9" s="51"/>
      <c r="F9" s="50"/>
      <c r="G9" s="51"/>
      <c r="H9" s="50"/>
      <c r="I9" s="50"/>
      <c r="J9" s="51"/>
      <c r="K9" s="50"/>
      <c r="L9" s="51"/>
      <c r="N9" s="112"/>
      <c r="O9" s="300"/>
      <c r="P9" s="301"/>
      <c r="Q9" s="112"/>
      <c r="R9" s="300"/>
      <c r="S9" s="301"/>
      <c r="T9" s="112"/>
      <c r="U9" s="306"/>
      <c r="V9" s="307"/>
      <c r="W9" s="301"/>
      <c r="X9" s="112"/>
      <c r="Y9" s="300"/>
      <c r="Z9" s="301"/>
    </row>
    <row r="10" spans="1:36" x14ac:dyDescent="0.25">
      <c r="A10" s="6"/>
      <c r="B10" s="252" t="s">
        <v>121</v>
      </c>
      <c r="C10" s="41"/>
      <c r="D10" s="50"/>
      <c r="E10" s="51"/>
      <c r="F10" s="50"/>
      <c r="G10" s="51"/>
      <c r="H10" s="50"/>
      <c r="I10" s="50"/>
      <c r="J10" s="51"/>
      <c r="K10" s="50"/>
      <c r="L10" s="51"/>
      <c r="N10" s="113"/>
      <c r="O10" s="302"/>
      <c r="P10" s="303"/>
      <c r="Q10" s="113"/>
      <c r="R10" s="302"/>
      <c r="S10" s="303"/>
      <c r="T10" s="113"/>
      <c r="U10" s="308"/>
      <c r="V10" s="309"/>
      <c r="W10" s="303"/>
      <c r="X10" s="113"/>
      <c r="Y10" s="302"/>
      <c r="Z10" s="303"/>
    </row>
    <row r="11" spans="1:36" x14ac:dyDescent="0.25">
      <c r="A11" s="13"/>
      <c r="B11" s="274" t="s">
        <v>112</v>
      </c>
      <c r="C11" s="53">
        <f>'for Dist_SPS'!D11</f>
        <v>3019</v>
      </c>
      <c r="D11" s="64">
        <f>(C29)*D4+(C30+C32)</f>
        <v>946.45</v>
      </c>
      <c r="E11" s="69">
        <f>C11-D11</f>
        <v>2072.5500000000002</v>
      </c>
      <c r="F11" s="64">
        <f>(C29)*F4</f>
        <v>925.05</v>
      </c>
      <c r="G11" s="69">
        <f>E11-F11</f>
        <v>1147.5000000000002</v>
      </c>
      <c r="H11" s="64">
        <f>(C29-200)*H4</f>
        <v>244.3</v>
      </c>
      <c r="I11" s="64">
        <f>(C29-200)*I4</f>
        <v>244.3</v>
      </c>
      <c r="J11" s="69">
        <f>G11-H11-I11</f>
        <v>658.90000000000032</v>
      </c>
      <c r="K11" s="64">
        <f>(C29-200)*K4</f>
        <v>244.3</v>
      </c>
      <c r="L11" s="69">
        <f>J11-K11</f>
        <v>414.60000000000031</v>
      </c>
      <c r="N11" s="114">
        <f>N4*0.3</f>
        <v>450</v>
      </c>
      <c r="O11" s="298">
        <f>D11*N11</f>
        <v>425902.5</v>
      </c>
      <c r="P11" s="299">
        <f>C11*N11</f>
        <v>1358550</v>
      </c>
      <c r="Q11" s="114">
        <f>Q4*0.3</f>
        <v>450</v>
      </c>
      <c r="R11" s="298">
        <f>F11*Q11</f>
        <v>416272.5</v>
      </c>
      <c r="S11" s="299">
        <f>E11*Q11</f>
        <v>932647.50000000012</v>
      </c>
      <c r="T11" s="114">
        <f>T4*0.3</f>
        <v>450</v>
      </c>
      <c r="U11" s="304">
        <f>H11*T11</f>
        <v>109935</v>
      </c>
      <c r="V11" s="305">
        <f>I11*T11</f>
        <v>109935</v>
      </c>
      <c r="W11" s="299">
        <f>G11*T11</f>
        <v>516375.00000000012</v>
      </c>
      <c r="X11" s="114">
        <f>X4*0.3</f>
        <v>450</v>
      </c>
      <c r="Y11" s="298">
        <f>K11*X11</f>
        <v>109935</v>
      </c>
      <c r="Z11" s="299">
        <f>X11*J11</f>
        <v>296505.00000000012</v>
      </c>
      <c r="AA11" s="141" t="s">
        <v>91</v>
      </c>
    </row>
    <row r="12" spans="1:36" x14ac:dyDescent="0.25">
      <c r="A12" s="22"/>
      <c r="B12" s="252" t="s">
        <v>120</v>
      </c>
      <c r="C12" s="82" t="str">
        <f>'for Dist_SPS'!D12</f>
        <v>Valued at 3,438</v>
      </c>
      <c r="D12" s="70"/>
      <c r="E12" s="51"/>
      <c r="F12" s="50"/>
      <c r="G12" s="51"/>
      <c r="H12" s="50"/>
      <c r="I12" s="50"/>
      <c r="J12" s="51"/>
      <c r="K12" s="50"/>
      <c r="L12" s="51"/>
      <c r="N12" s="112"/>
      <c r="O12" s="300"/>
      <c r="P12" s="301"/>
      <c r="Q12" s="112"/>
      <c r="R12" s="300"/>
      <c r="S12" s="301"/>
      <c r="T12" s="112"/>
      <c r="U12" s="306"/>
      <c r="V12" s="307"/>
      <c r="W12" s="301"/>
      <c r="X12" s="112"/>
      <c r="Y12" s="300"/>
      <c r="Z12" s="301"/>
    </row>
    <row r="13" spans="1:36" x14ac:dyDescent="0.25">
      <c r="A13" s="22"/>
      <c r="B13" s="19" t="s">
        <v>9</v>
      </c>
      <c r="C13" s="61" t="str">
        <f>'for Dist_SPS'!D13</f>
        <v>save 419</v>
      </c>
      <c r="D13" s="70"/>
      <c r="E13" s="51"/>
      <c r="F13" s="50"/>
      <c r="G13" s="51"/>
      <c r="H13" s="50"/>
      <c r="I13" s="50"/>
      <c r="J13" s="51"/>
      <c r="K13" s="50"/>
      <c r="L13" s="51"/>
      <c r="N13" s="112"/>
      <c r="O13" s="300"/>
      <c r="P13" s="301"/>
      <c r="Q13" s="112"/>
      <c r="R13" s="300"/>
      <c r="S13" s="301"/>
      <c r="T13" s="112"/>
      <c r="U13" s="306"/>
      <c r="V13" s="307"/>
      <c r="W13" s="301"/>
      <c r="X13" s="112"/>
      <c r="Y13" s="300"/>
      <c r="Z13" s="301"/>
    </row>
    <row r="14" spans="1:36" x14ac:dyDescent="0.25">
      <c r="A14" s="6"/>
      <c r="B14" s="20" t="s">
        <v>26</v>
      </c>
      <c r="C14" s="62"/>
      <c r="D14" s="65"/>
      <c r="E14" s="71"/>
      <c r="F14" s="65"/>
      <c r="G14" s="71"/>
      <c r="H14" s="65"/>
      <c r="I14" s="65"/>
      <c r="J14" s="71"/>
      <c r="K14" s="65"/>
      <c r="L14" s="71"/>
      <c r="N14" s="113"/>
      <c r="O14" s="302"/>
      <c r="P14" s="303"/>
      <c r="Q14" s="113"/>
      <c r="R14" s="302"/>
      <c r="S14" s="303"/>
      <c r="T14" s="113"/>
      <c r="U14" s="308"/>
      <c r="V14" s="309"/>
      <c r="W14" s="303"/>
      <c r="X14" s="113"/>
      <c r="Y14" s="302"/>
      <c r="Z14" s="303"/>
    </row>
    <row r="15" spans="1:36" x14ac:dyDescent="0.25">
      <c r="A15" s="13"/>
      <c r="B15" s="274" t="s">
        <v>113</v>
      </c>
      <c r="C15" s="53">
        <f>'for Dist_SPS'!D15</f>
        <v>2819</v>
      </c>
      <c r="D15" s="64">
        <f>(C29)*D4+C32</f>
        <v>746.45</v>
      </c>
      <c r="E15" s="69">
        <f>C15-D15</f>
        <v>2072.5500000000002</v>
      </c>
      <c r="F15" s="64">
        <f>(C29)*F4</f>
        <v>925.05</v>
      </c>
      <c r="G15" s="69">
        <f>E15-F15</f>
        <v>1147.5000000000002</v>
      </c>
      <c r="H15" s="64">
        <f>(C29-150)*H4</f>
        <v>249.3</v>
      </c>
      <c r="I15" s="64">
        <f>(C29-150)*I4</f>
        <v>249.3</v>
      </c>
      <c r="J15" s="69">
        <f>G15-H15-I15</f>
        <v>648.90000000000032</v>
      </c>
      <c r="K15" s="64">
        <f>(C29-150)*K4</f>
        <v>249.3</v>
      </c>
      <c r="L15" s="69">
        <f>J15-K15</f>
        <v>399.60000000000031</v>
      </c>
      <c r="N15" s="112">
        <f>N4*0.2</f>
        <v>300</v>
      </c>
      <c r="O15" s="298">
        <f>D15*N15</f>
        <v>223935</v>
      </c>
      <c r="P15" s="299">
        <f>C15*N15</f>
        <v>845700</v>
      </c>
      <c r="Q15" s="112">
        <f>Q4*0.2</f>
        <v>300</v>
      </c>
      <c r="R15" s="298">
        <f>F15*Q15</f>
        <v>277515</v>
      </c>
      <c r="S15" s="299">
        <f>E15*Q15</f>
        <v>621765</v>
      </c>
      <c r="T15" s="112">
        <f>T4*0.2</f>
        <v>300</v>
      </c>
      <c r="U15" s="304">
        <f>H15*T15</f>
        <v>74790</v>
      </c>
      <c r="V15" s="305">
        <f>I15*T15</f>
        <v>74790</v>
      </c>
      <c r="W15" s="299">
        <f>G15*T15</f>
        <v>344250.00000000006</v>
      </c>
      <c r="X15" s="112">
        <f>X4*0.2</f>
        <v>300</v>
      </c>
      <c r="Y15" s="298">
        <f>K15*X15</f>
        <v>74790</v>
      </c>
      <c r="Z15" s="299">
        <f>X15*J15</f>
        <v>194670.00000000009</v>
      </c>
      <c r="AA15" s="141" t="s">
        <v>92</v>
      </c>
    </row>
    <row r="16" spans="1:36" x14ac:dyDescent="0.25">
      <c r="A16" s="22"/>
      <c r="B16" s="252" t="s">
        <v>120</v>
      </c>
      <c r="C16" s="82" t="str">
        <f>'for Dist_SPS'!D16</f>
        <v>Valued at 3,238</v>
      </c>
      <c r="D16" s="70"/>
      <c r="E16" s="51"/>
      <c r="F16" s="50"/>
      <c r="G16" s="51"/>
      <c r="H16" s="50"/>
      <c r="I16" s="50"/>
      <c r="J16" s="51"/>
      <c r="K16" s="50"/>
      <c r="L16" s="51"/>
      <c r="N16" s="112"/>
      <c r="O16" s="300"/>
      <c r="P16" s="301"/>
      <c r="Q16" s="112"/>
      <c r="R16" s="300"/>
      <c r="S16" s="301"/>
      <c r="T16" s="112"/>
      <c r="U16" s="306"/>
      <c r="V16" s="307"/>
      <c r="W16" s="301"/>
      <c r="X16" s="112"/>
      <c r="Y16" s="300"/>
      <c r="Z16" s="301"/>
    </row>
    <row r="17" spans="1:30" x14ac:dyDescent="0.25">
      <c r="A17" s="6"/>
      <c r="B17" s="20" t="s">
        <v>26</v>
      </c>
      <c r="C17" s="61" t="str">
        <f>'for Dist_SPS'!D17</f>
        <v>save 419</v>
      </c>
      <c r="D17" s="70"/>
      <c r="E17" s="71"/>
      <c r="F17" s="65"/>
      <c r="G17" s="71"/>
      <c r="H17" s="65"/>
      <c r="I17" s="65"/>
      <c r="J17" s="71"/>
      <c r="K17" s="65"/>
      <c r="L17" s="71"/>
      <c r="N17" s="112"/>
      <c r="O17" s="300"/>
      <c r="P17" s="301"/>
      <c r="Q17" s="112"/>
      <c r="R17" s="300"/>
      <c r="S17" s="301"/>
      <c r="T17" s="112"/>
      <c r="U17" s="306"/>
      <c r="V17" s="307"/>
      <c r="W17" s="301"/>
      <c r="X17" s="112"/>
      <c r="Y17" s="300"/>
      <c r="Z17" s="301"/>
    </row>
    <row r="18" spans="1:30" x14ac:dyDescent="0.25">
      <c r="A18" s="13"/>
      <c r="B18" s="274" t="s">
        <v>127</v>
      </c>
      <c r="C18" s="53">
        <f>'for Dist_SPS'!D18</f>
        <v>2643</v>
      </c>
      <c r="D18" s="57">
        <f>C18*D4</f>
        <v>396.45</v>
      </c>
      <c r="E18" s="45">
        <f>C18-D18</f>
        <v>2246.5500000000002</v>
      </c>
      <c r="F18" s="44">
        <f>C18*F4</f>
        <v>925.05</v>
      </c>
      <c r="G18" s="45">
        <f>E18-F18</f>
        <v>1321.5000000000002</v>
      </c>
      <c r="H18" s="44">
        <f>C18*H4</f>
        <v>264.3</v>
      </c>
      <c r="I18" s="44">
        <f>C18*I4</f>
        <v>264.3</v>
      </c>
      <c r="J18" s="69">
        <f>G18-H18-I18</f>
        <v>792.90000000000032</v>
      </c>
      <c r="K18" s="44">
        <f>C18*K4</f>
        <v>264.3</v>
      </c>
      <c r="L18" s="69">
        <f>J18-K18</f>
        <v>528.60000000000036</v>
      </c>
      <c r="N18" s="188">
        <f>N4*0.1</f>
        <v>150</v>
      </c>
      <c r="O18" s="298">
        <f>D18*N18</f>
        <v>59467.5</v>
      </c>
      <c r="P18" s="299">
        <f>C18*N18</f>
        <v>396450</v>
      </c>
      <c r="Q18" s="188">
        <f>Q4*0.1</f>
        <v>150</v>
      </c>
      <c r="R18" s="298">
        <f>F18*Q18</f>
        <v>138757.5</v>
      </c>
      <c r="S18" s="299">
        <f>E18*Q18</f>
        <v>336982.5</v>
      </c>
      <c r="T18" s="188">
        <f>T4*0.1</f>
        <v>150</v>
      </c>
      <c r="U18" s="310">
        <f>H18*T18</f>
        <v>39645</v>
      </c>
      <c r="V18" s="305">
        <f>I18*T18</f>
        <v>39645</v>
      </c>
      <c r="W18" s="311">
        <f>G18*T18</f>
        <v>198225.00000000003</v>
      </c>
      <c r="X18" s="188">
        <f>X4*0.1</f>
        <v>150</v>
      </c>
      <c r="Y18" s="315">
        <f>K18*X18</f>
        <v>39645</v>
      </c>
      <c r="Z18" s="299">
        <f>X18*J18</f>
        <v>118935.00000000004</v>
      </c>
      <c r="AA18" s="191" t="s">
        <v>93</v>
      </c>
      <c r="AB18" s="187"/>
      <c r="AC18" s="187"/>
      <c r="AD18" s="187"/>
    </row>
    <row r="19" spans="1:30" x14ac:dyDescent="0.25">
      <c r="A19" s="22"/>
      <c r="B19" s="252" t="s">
        <v>120</v>
      </c>
      <c r="C19" s="61" t="str">
        <f>'for Dist_SPS'!D19</f>
        <v>Valued at 2,888</v>
      </c>
      <c r="D19" s="50"/>
      <c r="E19" s="202"/>
      <c r="F19" s="203"/>
      <c r="G19" s="202"/>
      <c r="H19" s="203"/>
      <c r="I19" s="203"/>
      <c r="J19" s="202"/>
      <c r="K19" s="203"/>
      <c r="L19" s="202"/>
      <c r="N19" s="204"/>
      <c r="O19" s="205"/>
      <c r="P19" s="206"/>
      <c r="Q19" s="204"/>
      <c r="R19" s="205"/>
      <c r="S19" s="206"/>
      <c r="T19" s="204"/>
      <c r="U19" s="312"/>
      <c r="V19" s="313"/>
      <c r="W19" s="314"/>
      <c r="X19" s="204"/>
      <c r="Y19" s="205"/>
      <c r="Z19" s="206"/>
      <c r="AA19" s="187"/>
      <c r="AB19" s="187"/>
      <c r="AC19" s="187"/>
      <c r="AD19" s="187"/>
    </row>
    <row r="20" spans="1:30" ht="16.5" thickBot="1" x14ac:dyDescent="0.3">
      <c r="A20" s="6"/>
      <c r="B20" s="20"/>
      <c r="C20" s="72" t="str">
        <f>'for Dist_SPS'!D20</f>
        <v>Save 245</v>
      </c>
      <c r="D20" s="73"/>
      <c r="E20" s="74"/>
      <c r="F20" s="75"/>
      <c r="G20" s="74"/>
      <c r="H20" s="75"/>
      <c r="I20" s="75"/>
      <c r="J20" s="74"/>
      <c r="K20" s="75"/>
      <c r="L20" s="74"/>
      <c r="N20" s="197"/>
      <c r="O20" s="198"/>
      <c r="P20" s="199"/>
      <c r="Q20" s="197"/>
      <c r="R20" s="198"/>
      <c r="S20" s="199"/>
      <c r="T20" s="197"/>
      <c r="U20" s="226"/>
      <c r="V20" s="231"/>
      <c r="W20" s="199"/>
      <c r="X20" s="200"/>
      <c r="Y20" s="198"/>
      <c r="Z20" s="199"/>
    </row>
    <row r="21" spans="1:30" x14ac:dyDescent="0.25">
      <c r="A21" s="10"/>
      <c r="B21" s="19"/>
      <c r="C21" s="11"/>
      <c r="D21" s="11"/>
      <c r="E21" s="10"/>
      <c r="F21" s="10"/>
      <c r="G21" s="10"/>
      <c r="H21" s="10"/>
      <c r="I21" s="10"/>
      <c r="J21" s="10"/>
      <c r="K21" s="10"/>
      <c r="L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spans="1:30" x14ac:dyDescent="0.25">
      <c r="N22" s="117"/>
      <c r="O22" s="316">
        <f>SUM(O6:O21)</f>
        <v>1547175</v>
      </c>
      <c r="P22" s="266">
        <f>SUM(P6:P21)</f>
        <v>4508700</v>
      </c>
      <c r="Q22" s="266"/>
      <c r="R22" s="316">
        <f>SUM(R6:R21)</f>
        <v>1387575</v>
      </c>
      <c r="S22" s="266">
        <f>SUM(S6:S21)</f>
        <v>2961525</v>
      </c>
      <c r="T22" s="266"/>
      <c r="U22" s="316">
        <f>SUM(U6:U21)</f>
        <v>364950</v>
      </c>
      <c r="V22" s="266">
        <f>SUM(V6:V21)</f>
        <v>364950</v>
      </c>
      <c r="W22" s="266">
        <f>SUM(W6:W21)</f>
        <v>1573950.0000000002</v>
      </c>
      <c r="X22" s="266"/>
      <c r="Y22" s="316">
        <f>SUM(Y6:Y21)</f>
        <v>364950</v>
      </c>
      <c r="Z22" s="266">
        <f>SUM(Z6:Z21)</f>
        <v>844050.00000000023</v>
      </c>
    </row>
    <row r="23" spans="1:30" x14ac:dyDescent="0.25"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</row>
    <row r="24" spans="1:30" x14ac:dyDescent="0.25">
      <c r="N24" s="117"/>
      <c r="O24" s="151">
        <f>O22/P22</f>
        <v>0.34315323707498835</v>
      </c>
      <c r="R24" s="151">
        <f>R22/S22</f>
        <v>0.46853394788158126</v>
      </c>
      <c r="U24" s="151">
        <f>(U22+V22)/W22</f>
        <v>0.46373772991518147</v>
      </c>
      <c r="V24" s="151"/>
      <c r="Y24" s="151">
        <f>Y22/Z22</f>
        <v>0.43237959836502565</v>
      </c>
      <c r="Z24" s="117"/>
    </row>
    <row r="25" spans="1:30" x14ac:dyDescent="0.25"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</row>
    <row r="26" spans="1:30" x14ac:dyDescent="0.25">
      <c r="B26" s="35" t="s">
        <v>36</v>
      </c>
    </row>
    <row r="27" spans="1:30" ht="16.5" thickBot="1" x14ac:dyDescent="0.3">
      <c r="A27" s="2"/>
      <c r="B27" s="2"/>
      <c r="C27" s="2"/>
      <c r="D27" s="38">
        <v>0.15</v>
      </c>
      <c r="E27" s="2"/>
      <c r="F27" s="38">
        <v>0.35</v>
      </c>
      <c r="G27" s="2"/>
      <c r="H27" s="38">
        <v>0.1</v>
      </c>
      <c r="I27" s="38"/>
      <c r="J27" s="38"/>
      <c r="K27" s="38">
        <v>0.1</v>
      </c>
      <c r="L27" s="2"/>
      <c r="P27" s="95" t="s">
        <v>67</v>
      </c>
      <c r="S27" s="95" t="s">
        <v>88</v>
      </c>
      <c r="W27" s="95" t="s">
        <v>56</v>
      </c>
      <c r="Z27" s="122" t="s">
        <v>57</v>
      </c>
    </row>
    <row r="28" spans="1:30" s="2" customFormat="1" ht="15" x14ac:dyDescent="0.25">
      <c r="A28" s="8"/>
      <c r="B28" s="8" t="s">
        <v>5</v>
      </c>
      <c r="C28" s="39" t="s">
        <v>27</v>
      </c>
      <c r="D28" s="42" t="s">
        <v>32</v>
      </c>
      <c r="E28" s="43" t="s">
        <v>28</v>
      </c>
      <c r="F28" s="42" t="s">
        <v>32</v>
      </c>
      <c r="G28" s="43" t="s">
        <v>29</v>
      </c>
      <c r="H28" s="42" t="s">
        <v>32</v>
      </c>
      <c r="I28" s="42" t="s">
        <v>89</v>
      </c>
      <c r="J28" s="43" t="s">
        <v>30</v>
      </c>
      <c r="K28" s="63" t="s">
        <v>32</v>
      </c>
      <c r="L28" s="43" t="s">
        <v>31</v>
      </c>
      <c r="N28" s="109" t="s">
        <v>58</v>
      </c>
      <c r="O28" s="129" t="s">
        <v>32</v>
      </c>
      <c r="P28" s="110" t="s">
        <v>55</v>
      </c>
      <c r="Q28" s="109" t="s">
        <v>58</v>
      </c>
      <c r="R28" s="129" t="s">
        <v>32</v>
      </c>
      <c r="S28" s="110" t="s">
        <v>55</v>
      </c>
      <c r="T28" s="109" t="s">
        <v>58</v>
      </c>
      <c r="U28" s="220" t="s">
        <v>32</v>
      </c>
      <c r="V28" s="212" t="s">
        <v>89</v>
      </c>
      <c r="W28" s="110" t="s">
        <v>55</v>
      </c>
      <c r="X28" s="109" t="s">
        <v>66</v>
      </c>
      <c r="Y28" s="129" t="s">
        <v>32</v>
      </c>
      <c r="Z28" s="110" t="s">
        <v>55</v>
      </c>
    </row>
    <row r="29" spans="1:30" s="2" customFormat="1" x14ac:dyDescent="0.25">
      <c r="A29" s="6">
        <v>1</v>
      </c>
      <c r="B29" s="274" t="s">
        <v>132</v>
      </c>
      <c r="C29" s="348">
        <f>'for Dist_SPS'!D18</f>
        <v>2643</v>
      </c>
      <c r="D29" s="349">
        <f>C29*D27</f>
        <v>396.45</v>
      </c>
      <c r="E29" s="350">
        <f>C29-D29</f>
        <v>2246.5500000000002</v>
      </c>
      <c r="F29" s="353">
        <f>C29*F27</f>
        <v>925.05</v>
      </c>
      <c r="G29" s="350">
        <f>E29-F29</f>
        <v>1321.5000000000002</v>
      </c>
      <c r="H29" s="353">
        <f>C29*H27</f>
        <v>264.3</v>
      </c>
      <c r="I29" s="353">
        <f>C29*H27</f>
        <v>264.3</v>
      </c>
      <c r="J29" s="350">
        <f>G29-H29-I29</f>
        <v>792.90000000000032</v>
      </c>
      <c r="K29" s="351">
        <f>C29*K27</f>
        <v>264.3</v>
      </c>
      <c r="L29" s="350">
        <f>J29-K29</f>
        <v>528.60000000000036</v>
      </c>
      <c r="N29" s="121">
        <v>0</v>
      </c>
      <c r="O29" s="118">
        <f>E29*N29</f>
        <v>0</v>
      </c>
      <c r="P29" s="107">
        <v>0</v>
      </c>
      <c r="Q29" s="121">
        <v>0</v>
      </c>
      <c r="R29" s="118">
        <f>H29*Q29</f>
        <v>0</v>
      </c>
      <c r="S29" s="107">
        <v>0</v>
      </c>
      <c r="T29" s="121">
        <v>0</v>
      </c>
      <c r="U29" s="221">
        <f>H29*T29</f>
        <v>0</v>
      </c>
      <c r="V29" s="227">
        <v>0</v>
      </c>
      <c r="W29" s="107">
        <f>E29*T29</f>
        <v>0</v>
      </c>
      <c r="X29" s="111">
        <v>0</v>
      </c>
      <c r="Y29" s="118">
        <v>0</v>
      </c>
      <c r="Z29" s="107">
        <f>X29*L29</f>
        <v>0</v>
      </c>
    </row>
    <row r="30" spans="1:30" s="2" customFormat="1" x14ac:dyDescent="0.25">
      <c r="A30" s="6">
        <v>2</v>
      </c>
      <c r="B30" s="37" t="s">
        <v>0</v>
      </c>
      <c r="C30" s="389">
        <f>'for Dist_SPS'!D27</f>
        <v>200</v>
      </c>
      <c r="D30" s="354">
        <v>200</v>
      </c>
      <c r="E30" s="355">
        <v>0</v>
      </c>
      <c r="F30" s="358" t="s">
        <v>33</v>
      </c>
      <c r="G30" s="355" t="s">
        <v>33</v>
      </c>
      <c r="H30" s="358" t="s">
        <v>33</v>
      </c>
      <c r="I30" s="390"/>
      <c r="J30" s="355" t="s">
        <v>33</v>
      </c>
      <c r="K30" s="356" t="s">
        <v>33</v>
      </c>
      <c r="L30" s="355" t="s">
        <v>33</v>
      </c>
      <c r="N30" s="131">
        <f>(N15+N18)*0.5</f>
        <v>225</v>
      </c>
      <c r="O30" s="317">
        <f>D30*N30</f>
        <v>45000</v>
      </c>
      <c r="P30" s="317">
        <f>C30*N30</f>
        <v>45000</v>
      </c>
      <c r="Q30" s="318" t="s">
        <v>33</v>
      </c>
      <c r="R30" s="317" t="s">
        <v>33</v>
      </c>
      <c r="S30" s="317" t="s">
        <v>33</v>
      </c>
      <c r="T30" s="318" t="s">
        <v>33</v>
      </c>
      <c r="U30" s="319" t="s">
        <v>33</v>
      </c>
      <c r="V30" s="320" t="s">
        <v>33</v>
      </c>
      <c r="W30" s="321" t="s">
        <v>33</v>
      </c>
      <c r="X30" s="318" t="s">
        <v>33</v>
      </c>
      <c r="Y30" s="317" t="s">
        <v>33</v>
      </c>
      <c r="Z30" s="322" t="s">
        <v>33</v>
      </c>
      <c r="AA30" s="141" t="s">
        <v>59</v>
      </c>
    </row>
    <row r="31" spans="1:30" s="2" customFormat="1" x14ac:dyDescent="0.25">
      <c r="A31" s="4">
        <v>3</v>
      </c>
      <c r="B31" s="37" t="s">
        <v>16</v>
      </c>
      <c r="C31" s="357">
        <f>'for Dist_SPS'!D28</f>
        <v>500</v>
      </c>
      <c r="D31" s="349">
        <f>C31*D27</f>
        <v>75</v>
      </c>
      <c r="E31" s="350">
        <f>C31-D31</f>
        <v>425</v>
      </c>
      <c r="F31" s="353">
        <f>C31*F27</f>
        <v>175</v>
      </c>
      <c r="G31" s="350">
        <f>E31-F31</f>
        <v>250</v>
      </c>
      <c r="H31" s="353">
        <f>C31*H27</f>
        <v>50</v>
      </c>
      <c r="I31" s="353">
        <f>C31*H27</f>
        <v>50</v>
      </c>
      <c r="J31" s="350">
        <f>G31-H31-I31</f>
        <v>150</v>
      </c>
      <c r="K31" s="351">
        <f>C31*K27</f>
        <v>50</v>
      </c>
      <c r="L31" s="350">
        <f>J31-K31</f>
        <v>100</v>
      </c>
      <c r="N31" s="131">
        <f>0.1*N4</f>
        <v>150</v>
      </c>
      <c r="O31" s="317">
        <f>D31*N31</f>
        <v>11250</v>
      </c>
      <c r="P31" s="317">
        <f>C31*N31</f>
        <v>75000</v>
      </c>
      <c r="Q31" s="318">
        <f>0.1*Q4</f>
        <v>150</v>
      </c>
      <c r="R31" s="317">
        <f>F31*N31</f>
        <v>26250</v>
      </c>
      <c r="S31" s="317">
        <f>E31*Q31</f>
        <v>63750</v>
      </c>
      <c r="T31" s="318">
        <f>0.1*T4</f>
        <v>150</v>
      </c>
      <c r="U31" s="319">
        <f>H31*T31</f>
        <v>7500</v>
      </c>
      <c r="V31" s="320">
        <f>I31*T31</f>
        <v>7500</v>
      </c>
      <c r="W31" s="321">
        <f>G31*T31</f>
        <v>37500</v>
      </c>
      <c r="X31" s="318">
        <f>0.1*X4</f>
        <v>150</v>
      </c>
      <c r="Y31" s="317">
        <f>K31*X31</f>
        <v>7500</v>
      </c>
      <c r="Z31" s="323">
        <f>J31*X31</f>
        <v>22500</v>
      </c>
      <c r="AA31" s="141" t="s">
        <v>93</v>
      </c>
    </row>
    <row r="32" spans="1:30" s="2" customFormat="1" x14ac:dyDescent="0.25">
      <c r="A32" s="23">
        <v>4</v>
      </c>
      <c r="B32" s="4" t="s">
        <v>45</v>
      </c>
      <c r="C32" s="376">
        <f>'for Dist_SPS'!D29</f>
        <v>350</v>
      </c>
      <c r="D32" s="360">
        <v>350</v>
      </c>
      <c r="E32" s="355">
        <v>0</v>
      </c>
      <c r="F32" s="358" t="s">
        <v>33</v>
      </c>
      <c r="G32" s="355" t="s">
        <v>33</v>
      </c>
      <c r="H32" s="358" t="s">
        <v>33</v>
      </c>
      <c r="I32" s="359" t="s">
        <v>33</v>
      </c>
      <c r="J32" s="355" t="s">
        <v>33</v>
      </c>
      <c r="K32" s="356" t="s">
        <v>33</v>
      </c>
      <c r="L32" s="355" t="s">
        <v>33</v>
      </c>
      <c r="N32" s="131">
        <f>0.3*N18</f>
        <v>45</v>
      </c>
      <c r="O32" s="317">
        <f>D32*N32</f>
        <v>15750</v>
      </c>
      <c r="P32" s="317">
        <f>C32*N32</f>
        <v>15750</v>
      </c>
      <c r="Q32" s="318" t="s">
        <v>33</v>
      </c>
      <c r="R32" s="317" t="s">
        <v>33</v>
      </c>
      <c r="S32" s="317" t="s">
        <v>33</v>
      </c>
      <c r="T32" s="318" t="s">
        <v>33</v>
      </c>
      <c r="U32" s="319" t="s">
        <v>33</v>
      </c>
      <c r="V32" s="320" t="s">
        <v>33</v>
      </c>
      <c r="W32" s="324" t="s">
        <v>33</v>
      </c>
      <c r="X32" s="318" t="s">
        <v>33</v>
      </c>
      <c r="Y32" s="317" t="s">
        <v>33</v>
      </c>
      <c r="Z32" s="323" t="s">
        <v>33</v>
      </c>
      <c r="AA32" s="141" t="s">
        <v>61</v>
      </c>
    </row>
    <row r="33" spans="1:33" s="2" customFormat="1" x14ac:dyDescent="0.25">
      <c r="A33" s="23">
        <v>5</v>
      </c>
      <c r="B33" s="92" t="s">
        <v>48</v>
      </c>
      <c r="C33" s="376">
        <v>150</v>
      </c>
      <c r="D33" s="361" t="s">
        <v>33</v>
      </c>
      <c r="E33" s="362" t="s">
        <v>33</v>
      </c>
      <c r="F33" s="361" t="s">
        <v>33</v>
      </c>
      <c r="G33" s="362" t="s">
        <v>33</v>
      </c>
      <c r="H33" s="358">
        <v>150</v>
      </c>
      <c r="I33" s="359" t="s">
        <v>33</v>
      </c>
      <c r="J33" s="355">
        <v>0</v>
      </c>
      <c r="K33" s="363" t="s">
        <v>33</v>
      </c>
      <c r="L33" s="362" t="s">
        <v>33</v>
      </c>
      <c r="N33" s="131" t="s">
        <v>33</v>
      </c>
      <c r="O33" s="317" t="s">
        <v>33</v>
      </c>
      <c r="P33" s="317" t="s">
        <v>33</v>
      </c>
      <c r="Q33" s="318" t="s">
        <v>33</v>
      </c>
      <c r="R33" s="317" t="s">
        <v>33</v>
      </c>
      <c r="S33" s="317" t="s">
        <v>33</v>
      </c>
      <c r="T33" s="318">
        <f>T6*0.2</f>
        <v>120</v>
      </c>
      <c r="U33" s="319">
        <f>H33*T33</f>
        <v>18000</v>
      </c>
      <c r="V33" s="320" t="s">
        <v>33</v>
      </c>
      <c r="W33" s="321">
        <f>C33*T33</f>
        <v>18000</v>
      </c>
      <c r="X33" s="318" t="s">
        <v>33</v>
      </c>
      <c r="Y33" s="317" t="s">
        <v>33</v>
      </c>
      <c r="Z33" s="323" t="s">
        <v>33</v>
      </c>
      <c r="AA33" s="141" t="s">
        <v>92</v>
      </c>
    </row>
    <row r="34" spans="1:33" s="2" customFormat="1" x14ac:dyDescent="0.25">
      <c r="A34" s="13">
        <v>6</v>
      </c>
      <c r="B34" s="4" t="s">
        <v>7</v>
      </c>
      <c r="C34" s="376">
        <f>'for Dist_SPS'!D30</f>
        <v>180</v>
      </c>
      <c r="D34" s="360">
        <v>180</v>
      </c>
      <c r="E34" s="355">
        <v>0</v>
      </c>
      <c r="F34" s="358" t="s">
        <v>33</v>
      </c>
      <c r="G34" s="355" t="s">
        <v>33</v>
      </c>
      <c r="H34" s="358" t="s">
        <v>33</v>
      </c>
      <c r="I34" s="359" t="s">
        <v>33</v>
      </c>
      <c r="J34" s="355" t="s">
        <v>33</v>
      </c>
      <c r="K34" s="356" t="s">
        <v>33</v>
      </c>
      <c r="L34" s="355" t="s">
        <v>33</v>
      </c>
      <c r="N34" s="134">
        <f>(N11+N15+N18)*0.2</f>
        <v>180</v>
      </c>
      <c r="O34" s="317">
        <f>D34*N34</f>
        <v>32400</v>
      </c>
      <c r="P34" s="317">
        <f>C34*N34</f>
        <v>32400</v>
      </c>
      <c r="Q34" s="318" t="s">
        <v>33</v>
      </c>
      <c r="R34" s="317" t="s">
        <v>33</v>
      </c>
      <c r="S34" s="317" t="s">
        <v>33</v>
      </c>
      <c r="T34" s="325" t="s">
        <v>33</v>
      </c>
      <c r="U34" s="326" t="s">
        <v>33</v>
      </c>
      <c r="V34" s="327" t="s">
        <v>33</v>
      </c>
      <c r="W34" s="328" t="s">
        <v>33</v>
      </c>
      <c r="X34" s="318" t="s">
        <v>33</v>
      </c>
      <c r="Y34" s="317" t="s">
        <v>33</v>
      </c>
      <c r="Z34" s="323" t="s">
        <v>33</v>
      </c>
      <c r="AA34" s="141" t="s">
        <v>60</v>
      </c>
    </row>
    <row r="35" spans="1:33" s="2" customFormat="1" x14ac:dyDescent="0.25">
      <c r="A35" s="23">
        <v>7</v>
      </c>
      <c r="B35" s="4" t="s">
        <v>17</v>
      </c>
      <c r="C35" s="391">
        <f>'for Dist_SPS'!D31</f>
        <v>50</v>
      </c>
      <c r="D35" s="358">
        <v>50</v>
      </c>
      <c r="E35" s="355" t="s">
        <v>33</v>
      </c>
      <c r="F35" s="356" t="s">
        <v>33</v>
      </c>
      <c r="G35" s="364" t="s">
        <v>33</v>
      </c>
      <c r="H35" s="361" t="s">
        <v>33</v>
      </c>
      <c r="I35" s="359" t="s">
        <v>33</v>
      </c>
      <c r="J35" s="362" t="s">
        <v>33</v>
      </c>
      <c r="K35" s="363" t="s">
        <v>53</v>
      </c>
      <c r="L35" s="362" t="s">
        <v>53</v>
      </c>
      <c r="N35" s="134">
        <f>(N11+N15+N18)*0.2</f>
        <v>180</v>
      </c>
      <c r="O35" s="317">
        <f>D35*N35</f>
        <v>9000</v>
      </c>
      <c r="P35" s="317">
        <f>C35*N35</f>
        <v>9000</v>
      </c>
      <c r="Q35" s="318" t="s">
        <v>33</v>
      </c>
      <c r="R35" s="317" t="s">
        <v>33</v>
      </c>
      <c r="S35" s="317" t="s">
        <v>33</v>
      </c>
      <c r="T35" s="325" t="s">
        <v>33</v>
      </c>
      <c r="U35" s="329" t="s">
        <v>33</v>
      </c>
      <c r="V35" s="330" t="s">
        <v>33</v>
      </c>
      <c r="W35" s="331" t="s">
        <v>33</v>
      </c>
      <c r="X35" s="318" t="s">
        <v>33</v>
      </c>
      <c r="Y35" s="317" t="s">
        <v>33</v>
      </c>
      <c r="Z35" s="323" t="s">
        <v>33</v>
      </c>
      <c r="AA35" s="141" t="s">
        <v>60</v>
      </c>
    </row>
    <row r="36" spans="1:33" s="2" customFormat="1" x14ac:dyDescent="0.25">
      <c r="A36" s="23">
        <v>8</v>
      </c>
      <c r="B36" s="287" t="s">
        <v>116</v>
      </c>
      <c r="C36" s="348">
        <f>'for Dist_SPS'!D32</f>
        <v>450</v>
      </c>
      <c r="D36" s="349">
        <v>450</v>
      </c>
      <c r="E36" s="365">
        <v>0</v>
      </c>
      <c r="F36" s="368" t="s">
        <v>33</v>
      </c>
      <c r="G36" s="370" t="s">
        <v>33</v>
      </c>
      <c r="H36" s="368" t="s">
        <v>33</v>
      </c>
      <c r="I36" s="369" t="s">
        <v>33</v>
      </c>
      <c r="J36" s="370" t="s">
        <v>33</v>
      </c>
      <c r="K36" s="366" t="s">
        <v>33</v>
      </c>
      <c r="L36" s="370" t="s">
        <v>33</v>
      </c>
      <c r="N36" s="134">
        <f>(N11+N15+N18)*0.2</f>
        <v>180</v>
      </c>
      <c r="O36" s="332">
        <f>D36*N36</f>
        <v>81000</v>
      </c>
      <c r="P36" s="331">
        <f>C36*N36</f>
        <v>81000</v>
      </c>
      <c r="Q36" s="325" t="s">
        <v>33</v>
      </c>
      <c r="R36" s="332" t="s">
        <v>33</v>
      </c>
      <c r="S36" s="331" t="s">
        <v>33</v>
      </c>
      <c r="T36" s="325" t="s">
        <v>33</v>
      </c>
      <c r="U36" s="333" t="s">
        <v>33</v>
      </c>
      <c r="V36" s="330" t="s">
        <v>33</v>
      </c>
      <c r="W36" s="331" t="s">
        <v>33</v>
      </c>
      <c r="X36" s="325" t="s">
        <v>33</v>
      </c>
      <c r="Y36" s="333" t="s">
        <v>33</v>
      </c>
      <c r="Z36" s="334" t="s">
        <v>33</v>
      </c>
      <c r="AA36" s="141" t="s">
        <v>60</v>
      </c>
    </row>
    <row r="37" spans="1:33" s="2" customFormat="1" x14ac:dyDescent="0.25">
      <c r="A37" s="21"/>
      <c r="B37" s="22" t="s">
        <v>22</v>
      </c>
      <c r="C37" s="371"/>
      <c r="D37" s="372"/>
      <c r="E37" s="373"/>
      <c r="F37" s="372"/>
      <c r="G37" s="373"/>
      <c r="H37" s="372"/>
      <c r="I37" s="375"/>
      <c r="J37" s="373"/>
      <c r="K37" s="374"/>
      <c r="L37" s="373"/>
      <c r="N37" s="104"/>
      <c r="O37" s="119"/>
      <c r="P37" s="144"/>
      <c r="Q37" s="104"/>
      <c r="R37" s="119"/>
      <c r="S37" s="144"/>
      <c r="T37" s="104"/>
      <c r="U37" s="11"/>
      <c r="V37" s="228"/>
      <c r="W37" s="144"/>
      <c r="X37" s="104"/>
      <c r="Y37" s="11"/>
      <c r="Z37" s="105"/>
    </row>
    <row r="38" spans="1:33" s="2" customFormat="1" x14ac:dyDescent="0.25">
      <c r="A38" s="22"/>
      <c r="B38" s="22" t="s">
        <v>18</v>
      </c>
      <c r="C38" s="371"/>
      <c r="D38" s="372"/>
      <c r="E38" s="373"/>
      <c r="F38" s="372"/>
      <c r="G38" s="373"/>
      <c r="H38" s="372"/>
      <c r="I38" s="375"/>
      <c r="J38" s="373"/>
      <c r="K38" s="374"/>
      <c r="L38" s="373"/>
      <c r="N38" s="104"/>
      <c r="O38" s="168"/>
      <c r="P38" s="145"/>
      <c r="Q38" s="104"/>
      <c r="R38" s="168"/>
      <c r="S38" s="145"/>
      <c r="T38" s="104"/>
      <c r="U38" s="126"/>
      <c r="V38" s="242"/>
      <c r="W38" s="145"/>
      <c r="X38" s="104"/>
      <c r="Y38" s="126"/>
      <c r="Z38" s="103"/>
    </row>
    <row r="39" spans="1:33" s="2" customFormat="1" x14ac:dyDescent="0.25">
      <c r="A39" s="22"/>
      <c r="B39" s="22" t="s">
        <v>21</v>
      </c>
      <c r="C39" s="371"/>
      <c r="D39" s="372"/>
      <c r="E39" s="373"/>
      <c r="F39" s="372"/>
      <c r="G39" s="373"/>
      <c r="H39" s="372"/>
      <c r="I39" s="375"/>
      <c r="J39" s="373"/>
      <c r="K39" s="374"/>
      <c r="L39" s="373"/>
      <c r="N39" s="136"/>
      <c r="O39" s="120"/>
      <c r="P39" s="146"/>
      <c r="Q39" s="136"/>
      <c r="R39" s="120"/>
      <c r="S39" s="146"/>
      <c r="T39" s="136"/>
      <c r="U39" s="128"/>
      <c r="V39" s="229"/>
      <c r="W39" s="146"/>
      <c r="X39" s="136"/>
      <c r="Y39" s="128"/>
      <c r="Z39" s="108"/>
    </row>
    <row r="40" spans="1:33" s="2" customFormat="1" x14ac:dyDescent="0.25">
      <c r="A40" s="4">
        <v>9</v>
      </c>
      <c r="B40" s="4" t="s">
        <v>23</v>
      </c>
      <c r="C40" s="376">
        <f>'for Dist_SPS'!D36</f>
        <v>1050</v>
      </c>
      <c r="D40" s="360">
        <f>C40*D27</f>
        <v>157.5</v>
      </c>
      <c r="E40" s="350">
        <f>C40-D40</f>
        <v>892.5</v>
      </c>
      <c r="F40" s="360">
        <f>C40*F27</f>
        <v>367.5</v>
      </c>
      <c r="G40" s="350">
        <f>E40-F40</f>
        <v>525</v>
      </c>
      <c r="H40" s="360">
        <f>C40*H27</f>
        <v>105</v>
      </c>
      <c r="I40" s="360">
        <f>C40*H27</f>
        <v>105</v>
      </c>
      <c r="J40" s="350">
        <f>G40-H40-I40</f>
        <v>315</v>
      </c>
      <c r="K40" s="377">
        <f>C40*K27</f>
        <v>105</v>
      </c>
      <c r="L40" s="350">
        <f>J40-K40</f>
        <v>210</v>
      </c>
      <c r="N40" s="167" t="s">
        <v>33</v>
      </c>
      <c r="O40" s="123" t="s">
        <v>33</v>
      </c>
      <c r="P40" s="166" t="s">
        <v>33</v>
      </c>
      <c r="Q40" s="167" t="s">
        <v>33</v>
      </c>
      <c r="R40" s="123" t="s">
        <v>33</v>
      </c>
      <c r="S40" s="166" t="s">
        <v>33</v>
      </c>
      <c r="T40" s="131" t="s">
        <v>33</v>
      </c>
      <c r="U40" s="216" t="s">
        <v>33</v>
      </c>
      <c r="V40" s="239" t="s">
        <v>33</v>
      </c>
      <c r="W40" s="166" t="s">
        <v>33</v>
      </c>
      <c r="X40" s="131" t="s">
        <v>33</v>
      </c>
      <c r="Y40" s="123" t="s">
        <v>33</v>
      </c>
      <c r="Z40" s="132" t="s">
        <v>33</v>
      </c>
    </row>
    <row r="41" spans="1:33" s="2" customFormat="1" x14ac:dyDescent="0.25">
      <c r="A41" s="4">
        <v>10</v>
      </c>
      <c r="B41" s="13" t="s">
        <v>47</v>
      </c>
      <c r="C41" s="348">
        <f>'for Dist_SPS'!D37</f>
        <v>100</v>
      </c>
      <c r="D41" s="349">
        <f>C41*D27</f>
        <v>15</v>
      </c>
      <c r="E41" s="350">
        <f>C41-D41</f>
        <v>85</v>
      </c>
      <c r="F41" s="349">
        <f>C41*F27</f>
        <v>35</v>
      </c>
      <c r="G41" s="350">
        <f>E41-F41</f>
        <v>50</v>
      </c>
      <c r="H41" s="349">
        <f>C41*H27</f>
        <v>10</v>
      </c>
      <c r="I41" s="349">
        <f>C41*H27</f>
        <v>10</v>
      </c>
      <c r="J41" s="350">
        <f>G41-H41-I41</f>
        <v>30</v>
      </c>
      <c r="K41" s="392">
        <f>C41*K27</f>
        <v>10</v>
      </c>
      <c r="L41" s="350">
        <f>J41-K41</f>
        <v>20</v>
      </c>
      <c r="N41" s="131">
        <f>0.1*N4</f>
        <v>150</v>
      </c>
      <c r="O41" s="317">
        <f>D41*N41</f>
        <v>2250</v>
      </c>
      <c r="P41" s="317">
        <f>C41*N41</f>
        <v>15000</v>
      </c>
      <c r="Q41" s="318">
        <f>0.1*Q4</f>
        <v>150</v>
      </c>
      <c r="R41" s="317">
        <f>F41*N41</f>
        <v>5250</v>
      </c>
      <c r="S41" s="317">
        <f>E41*Q41</f>
        <v>12750</v>
      </c>
      <c r="T41" s="318">
        <f>0.1*T4</f>
        <v>150</v>
      </c>
      <c r="U41" s="326">
        <f>H41*T41</f>
        <v>1500</v>
      </c>
      <c r="V41" s="326">
        <f>I41*T41</f>
        <v>1500</v>
      </c>
      <c r="W41" s="321">
        <f>G41*T41</f>
        <v>7500</v>
      </c>
      <c r="X41" s="318">
        <f>0.1*X4</f>
        <v>150</v>
      </c>
      <c r="Y41" s="335">
        <f>K41*X41</f>
        <v>1500</v>
      </c>
      <c r="Z41" s="336">
        <f>X41*J41</f>
        <v>4500</v>
      </c>
      <c r="AA41" s="141" t="s">
        <v>93</v>
      </c>
    </row>
    <row r="42" spans="1:33" s="2" customFormat="1" x14ac:dyDescent="0.25">
      <c r="A42" s="4">
        <v>11</v>
      </c>
      <c r="B42" s="4" t="s">
        <v>35</v>
      </c>
      <c r="C42" s="376">
        <v>300</v>
      </c>
      <c r="D42" s="358" t="s">
        <v>33</v>
      </c>
      <c r="E42" s="378" t="s">
        <v>33</v>
      </c>
      <c r="F42" s="360">
        <v>300</v>
      </c>
      <c r="G42" s="378">
        <v>0</v>
      </c>
      <c r="H42" s="360" t="s">
        <v>33</v>
      </c>
      <c r="I42" s="380" t="s">
        <v>33</v>
      </c>
      <c r="J42" s="378" t="s">
        <v>33</v>
      </c>
      <c r="K42" s="377" t="s">
        <v>33</v>
      </c>
      <c r="L42" s="378" t="s">
        <v>33</v>
      </c>
      <c r="N42" s="167" t="s">
        <v>33</v>
      </c>
      <c r="O42" s="317" t="s">
        <v>33</v>
      </c>
      <c r="P42" s="324" t="s">
        <v>33</v>
      </c>
      <c r="Q42" s="318">
        <f>0.1*Q4</f>
        <v>150</v>
      </c>
      <c r="R42" s="317">
        <f>F42*Q42</f>
        <v>45000</v>
      </c>
      <c r="S42" s="324">
        <f>C42*Q42</f>
        <v>45000</v>
      </c>
      <c r="T42" s="318" t="s">
        <v>33</v>
      </c>
      <c r="U42" s="319" t="s">
        <v>33</v>
      </c>
      <c r="V42" s="320" t="s">
        <v>33</v>
      </c>
      <c r="W42" s="324" t="s">
        <v>33</v>
      </c>
      <c r="X42" s="318" t="s">
        <v>33</v>
      </c>
      <c r="Y42" s="317" t="s">
        <v>33</v>
      </c>
      <c r="Z42" s="322" t="s">
        <v>33</v>
      </c>
      <c r="AA42" s="141" t="s">
        <v>93</v>
      </c>
    </row>
    <row r="43" spans="1:33" s="2" customFormat="1" x14ac:dyDescent="0.25">
      <c r="A43" s="4">
        <v>12</v>
      </c>
      <c r="B43" s="96" t="s">
        <v>52</v>
      </c>
      <c r="C43" s="348">
        <v>600</v>
      </c>
      <c r="D43" s="368" t="s">
        <v>33</v>
      </c>
      <c r="E43" s="350" t="s">
        <v>33</v>
      </c>
      <c r="F43" s="349" t="s">
        <v>33</v>
      </c>
      <c r="G43" s="350" t="s">
        <v>33</v>
      </c>
      <c r="H43" s="349">
        <v>600</v>
      </c>
      <c r="I43" s="393" t="s">
        <v>33</v>
      </c>
      <c r="J43" s="350">
        <v>0</v>
      </c>
      <c r="K43" s="394" t="s">
        <v>33</v>
      </c>
      <c r="L43" s="395" t="s">
        <v>33</v>
      </c>
      <c r="N43" s="167" t="s">
        <v>33</v>
      </c>
      <c r="O43" s="317" t="s">
        <v>33</v>
      </c>
      <c r="P43" s="324" t="s">
        <v>33</v>
      </c>
      <c r="Q43" s="337" t="s">
        <v>33</v>
      </c>
      <c r="R43" s="317" t="s">
        <v>33</v>
      </c>
      <c r="S43" s="324" t="s">
        <v>33</v>
      </c>
      <c r="T43" s="318">
        <f>0.1*T4</f>
        <v>150</v>
      </c>
      <c r="U43" s="319">
        <f>H43*T43</f>
        <v>90000</v>
      </c>
      <c r="V43" s="320" t="s">
        <v>33</v>
      </c>
      <c r="W43" s="324">
        <f>C43*T43</f>
        <v>90000</v>
      </c>
      <c r="X43" s="318" t="s">
        <v>33</v>
      </c>
      <c r="Y43" s="317" t="s">
        <v>33</v>
      </c>
      <c r="Z43" s="322" t="s">
        <v>33</v>
      </c>
      <c r="AA43" s="141" t="s">
        <v>93</v>
      </c>
      <c r="AB43" s="1"/>
      <c r="AC43" s="1"/>
      <c r="AD43" s="1"/>
      <c r="AE43" s="1"/>
      <c r="AF43" s="1"/>
      <c r="AG43" s="1"/>
    </row>
    <row r="44" spans="1:33" x14ac:dyDescent="0.25">
      <c r="A44" s="4">
        <v>13</v>
      </c>
      <c r="B44" s="4" t="s">
        <v>40</v>
      </c>
      <c r="C44" s="40" t="s">
        <v>33</v>
      </c>
      <c r="D44" s="46" t="s">
        <v>33</v>
      </c>
      <c r="E44" s="81" t="s">
        <v>42</v>
      </c>
      <c r="F44" s="46" t="s">
        <v>33</v>
      </c>
      <c r="G44" s="81" t="s">
        <v>43</v>
      </c>
      <c r="H44" s="46" t="s">
        <v>33</v>
      </c>
      <c r="I44" s="211" t="s">
        <v>33</v>
      </c>
      <c r="J44" s="81" t="s">
        <v>33</v>
      </c>
      <c r="K44" s="77" t="s">
        <v>33</v>
      </c>
      <c r="L44" s="81" t="s">
        <v>33</v>
      </c>
      <c r="N44" s="167" t="s">
        <v>33</v>
      </c>
      <c r="O44" s="317" t="s">
        <v>33</v>
      </c>
      <c r="P44" s="324" t="s">
        <v>33</v>
      </c>
      <c r="Q44" s="337" t="s">
        <v>33</v>
      </c>
      <c r="R44" s="317" t="s">
        <v>33</v>
      </c>
      <c r="S44" s="324" t="s">
        <v>33</v>
      </c>
      <c r="T44" s="318" t="s">
        <v>33</v>
      </c>
      <c r="U44" s="319" t="s">
        <v>33</v>
      </c>
      <c r="V44" s="320" t="s">
        <v>33</v>
      </c>
      <c r="W44" s="324" t="s">
        <v>33</v>
      </c>
      <c r="X44" s="318" t="s">
        <v>33</v>
      </c>
      <c r="Y44" s="317" t="s">
        <v>33</v>
      </c>
      <c r="Z44" s="322" t="s">
        <v>33</v>
      </c>
    </row>
    <row r="45" spans="1:33" ht="16.5" thickBot="1" x14ac:dyDescent="0.3">
      <c r="A45" s="4">
        <v>14</v>
      </c>
      <c r="B45" s="4" t="s">
        <v>41</v>
      </c>
      <c r="C45" s="87" t="s">
        <v>33</v>
      </c>
      <c r="D45" s="88" t="s">
        <v>33</v>
      </c>
      <c r="E45" s="89" t="s">
        <v>43</v>
      </c>
      <c r="F45" s="88" t="s">
        <v>33</v>
      </c>
      <c r="G45" s="89" t="s">
        <v>33</v>
      </c>
      <c r="H45" s="88" t="s">
        <v>33</v>
      </c>
      <c r="I45" s="232" t="s">
        <v>33</v>
      </c>
      <c r="J45" s="89" t="s">
        <v>33</v>
      </c>
      <c r="K45" s="90" t="s">
        <v>33</v>
      </c>
      <c r="L45" s="89" t="s">
        <v>33</v>
      </c>
      <c r="N45" s="137" t="s">
        <v>33</v>
      </c>
      <c r="O45" s="338" t="s">
        <v>33</v>
      </c>
      <c r="P45" s="339" t="s">
        <v>33</v>
      </c>
      <c r="Q45" s="340" t="s">
        <v>33</v>
      </c>
      <c r="R45" s="338" t="s">
        <v>33</v>
      </c>
      <c r="S45" s="339" t="s">
        <v>33</v>
      </c>
      <c r="T45" s="340" t="s">
        <v>33</v>
      </c>
      <c r="U45" s="341" t="s">
        <v>33</v>
      </c>
      <c r="V45" s="342" t="s">
        <v>33</v>
      </c>
      <c r="W45" s="343" t="s">
        <v>33</v>
      </c>
      <c r="X45" s="344" t="s">
        <v>33</v>
      </c>
      <c r="Y45" s="338" t="s">
        <v>33</v>
      </c>
      <c r="Z45" s="345" t="s">
        <v>33</v>
      </c>
    </row>
    <row r="46" spans="1:33" x14ac:dyDescent="0.25">
      <c r="B46" s="34" t="s">
        <v>24</v>
      </c>
      <c r="L46" s="10"/>
      <c r="O46" s="346"/>
      <c r="P46" s="346"/>
      <c r="Q46" s="346"/>
      <c r="R46" s="346"/>
      <c r="S46" s="346"/>
      <c r="T46" s="346"/>
      <c r="U46" s="346"/>
      <c r="V46" s="346"/>
      <c r="W46" s="346"/>
      <c r="X46" s="346"/>
      <c r="Y46" s="346"/>
      <c r="Z46" s="346"/>
    </row>
    <row r="47" spans="1:33" x14ac:dyDescent="0.25">
      <c r="O47" s="347">
        <f>SUM(O29:O45)</f>
        <v>196650</v>
      </c>
      <c r="P47" s="346">
        <f>SUM(P29:P45)</f>
        <v>273150</v>
      </c>
      <c r="Q47" s="346"/>
      <c r="R47" s="347">
        <f>SUM(R29:R45)</f>
        <v>76500</v>
      </c>
      <c r="S47" s="346">
        <f>SUM(S29:S45)</f>
        <v>121500</v>
      </c>
      <c r="T47" s="346"/>
      <c r="U47" s="347">
        <f>SUM(U29:U45)</f>
        <v>117000</v>
      </c>
      <c r="V47" s="346">
        <f>SUM(V29:V46)</f>
        <v>9000</v>
      </c>
      <c r="W47" s="346">
        <f>SUM(W29:W45)</f>
        <v>153000</v>
      </c>
      <c r="X47" s="346"/>
      <c r="Y47" s="347">
        <f>SUM(Y29:Y45)</f>
        <v>9000</v>
      </c>
      <c r="Z47" s="346">
        <f>SUM(Z29:Z45)</f>
        <v>27000</v>
      </c>
    </row>
    <row r="49" spans="1:28" x14ac:dyDescent="0.25">
      <c r="O49" s="151">
        <f>O47/P47</f>
        <v>0.71993410214168041</v>
      </c>
      <c r="R49" s="151">
        <f>R47/S47</f>
        <v>0.62962962962962965</v>
      </c>
      <c r="U49" s="151">
        <f>(U47+V47)/W47</f>
        <v>0.82352941176470584</v>
      </c>
      <c r="V49" s="151"/>
      <c r="Y49" s="151">
        <f>Y47/Z47</f>
        <v>0.33333333333333331</v>
      </c>
    </row>
    <row r="51" spans="1:28" x14ac:dyDescent="0.25">
      <c r="A51" s="10"/>
      <c r="B51" s="33" t="s">
        <v>129</v>
      </c>
      <c r="C51" s="11"/>
      <c r="D51" s="11"/>
      <c r="E51" s="10"/>
      <c r="F51" s="10"/>
      <c r="G51" s="10"/>
      <c r="H51" s="10"/>
      <c r="I51" s="10"/>
    </row>
    <row r="52" spans="1:28" ht="16.5" thickBot="1" x14ac:dyDescent="0.3">
      <c r="D52" s="67">
        <v>0.15</v>
      </c>
      <c r="E52" s="67"/>
      <c r="F52" s="67">
        <v>0.35</v>
      </c>
      <c r="G52" s="67"/>
      <c r="H52" s="67">
        <v>0.1</v>
      </c>
      <c r="I52" s="67">
        <v>0.1</v>
      </c>
      <c r="J52" s="67"/>
      <c r="K52" s="67">
        <v>0.1</v>
      </c>
      <c r="L52" s="2"/>
      <c r="N52" s="1">
        <v>700</v>
      </c>
      <c r="P52" s="95" t="s">
        <v>67</v>
      </c>
      <c r="Q52" s="1">
        <v>700</v>
      </c>
      <c r="S52" s="95" t="s">
        <v>88</v>
      </c>
      <c r="T52" s="1">
        <v>700</v>
      </c>
      <c r="W52" s="95" t="s">
        <v>56</v>
      </c>
      <c r="X52" s="1">
        <v>700</v>
      </c>
      <c r="Z52" s="122" t="s">
        <v>57</v>
      </c>
    </row>
    <row r="53" spans="1:28" x14ac:dyDescent="0.25">
      <c r="A53" s="25"/>
      <c r="B53" s="8" t="s">
        <v>5</v>
      </c>
      <c r="C53" s="24" t="s">
        <v>2</v>
      </c>
      <c r="D53" s="42" t="s">
        <v>32</v>
      </c>
      <c r="E53" s="43" t="s">
        <v>28</v>
      </c>
      <c r="F53" s="42" t="s">
        <v>32</v>
      </c>
      <c r="G53" s="43" t="s">
        <v>29</v>
      </c>
      <c r="H53" s="42" t="s">
        <v>32</v>
      </c>
      <c r="I53" s="42" t="s">
        <v>89</v>
      </c>
      <c r="J53" s="43" t="s">
        <v>30</v>
      </c>
      <c r="K53" s="42" t="s">
        <v>32</v>
      </c>
      <c r="L53" s="43" t="s">
        <v>31</v>
      </c>
      <c r="N53" s="109" t="s">
        <v>54</v>
      </c>
      <c r="O53" s="129" t="s">
        <v>32</v>
      </c>
      <c r="P53" s="110" t="s">
        <v>55</v>
      </c>
      <c r="Q53" s="109" t="s">
        <v>54</v>
      </c>
      <c r="R53" s="129" t="s">
        <v>32</v>
      </c>
      <c r="S53" s="110" t="s">
        <v>55</v>
      </c>
      <c r="T53" s="109" t="s">
        <v>54</v>
      </c>
      <c r="U53" s="129" t="s">
        <v>32</v>
      </c>
      <c r="V53" s="212" t="s">
        <v>89</v>
      </c>
      <c r="W53" s="110" t="s">
        <v>55</v>
      </c>
      <c r="X53" s="109" t="s">
        <v>54</v>
      </c>
      <c r="Y53" s="129" t="s">
        <v>32</v>
      </c>
      <c r="Z53" s="110" t="s">
        <v>55</v>
      </c>
    </row>
    <row r="54" spans="1:28" x14ac:dyDescent="0.25">
      <c r="A54" s="27"/>
      <c r="B54" s="273" t="s">
        <v>110</v>
      </c>
      <c r="C54" s="28">
        <f>'S 1000-M 500'!C54</f>
        <v>4585</v>
      </c>
      <c r="D54" s="64">
        <f>(C76)*D52+(C77+550+C83)</f>
        <v>2183.6999999999998</v>
      </c>
      <c r="E54" s="69">
        <f>C54-D54</f>
        <v>2401.3000000000002</v>
      </c>
      <c r="F54" s="64">
        <f>(C76)*F52</f>
        <v>1245.3</v>
      </c>
      <c r="G54" s="69">
        <f>E54-F54</f>
        <v>1156.0000000000002</v>
      </c>
      <c r="H54" s="64">
        <f>(C76-400)*H52</f>
        <v>315.8</v>
      </c>
      <c r="I54" s="64">
        <f>(C76-400)*I52</f>
        <v>315.8</v>
      </c>
      <c r="J54" s="69">
        <f>G54-H54-I54</f>
        <v>524.40000000000032</v>
      </c>
      <c r="K54" s="64">
        <f>(C76-400)*K52</f>
        <v>315.8</v>
      </c>
      <c r="L54" s="69">
        <f>J54-K54</f>
        <v>208.60000000000031</v>
      </c>
      <c r="N54" s="121">
        <f>N52*0.4</f>
        <v>280</v>
      </c>
      <c r="O54" s="298">
        <f>D54*N54</f>
        <v>611436</v>
      </c>
      <c r="P54" s="299">
        <f>C54*N54</f>
        <v>1283800</v>
      </c>
      <c r="Q54" s="121">
        <f>Q52*0.4</f>
        <v>280</v>
      </c>
      <c r="R54" s="298">
        <f>F54*Q54</f>
        <v>348684</v>
      </c>
      <c r="S54" s="299">
        <f>E54*Q54</f>
        <v>672364</v>
      </c>
      <c r="T54" s="121">
        <f>T52*0.4</f>
        <v>280</v>
      </c>
      <c r="U54" s="298">
        <f>H54*T54</f>
        <v>88424</v>
      </c>
      <c r="V54" s="305">
        <f>I54*T54</f>
        <v>88424</v>
      </c>
      <c r="W54" s="299">
        <f>G54*T54</f>
        <v>323680.00000000006</v>
      </c>
      <c r="X54" s="121">
        <f>X52*0.4</f>
        <v>280</v>
      </c>
      <c r="Y54" s="298">
        <f>K54*X54</f>
        <v>88424</v>
      </c>
      <c r="Z54" s="299">
        <f>X54*J54</f>
        <v>146832.00000000009</v>
      </c>
      <c r="AA54" s="141" t="s">
        <v>94</v>
      </c>
      <c r="AB54" s="9"/>
    </row>
    <row r="55" spans="1:28" x14ac:dyDescent="0.25">
      <c r="A55" s="17"/>
      <c r="B55" s="252" t="s">
        <v>120</v>
      </c>
      <c r="C55" s="32" t="str">
        <f>'S 1000-M 500'!C55</f>
        <v>Valued at 5,538</v>
      </c>
      <c r="D55" s="70"/>
      <c r="E55" s="51"/>
      <c r="F55" s="50"/>
      <c r="G55" s="51"/>
      <c r="H55" s="50"/>
      <c r="I55" s="50"/>
      <c r="J55" s="51"/>
      <c r="K55" s="50"/>
      <c r="L55" s="51"/>
      <c r="N55" s="150"/>
      <c r="O55" s="300"/>
      <c r="P55" s="301"/>
      <c r="Q55" s="396"/>
      <c r="R55" s="300"/>
      <c r="S55" s="301"/>
      <c r="T55" s="396"/>
      <c r="U55" s="300"/>
      <c r="V55" s="307"/>
      <c r="W55" s="301"/>
      <c r="X55" s="396"/>
      <c r="Y55" s="300"/>
      <c r="Z55" s="301"/>
    </row>
    <row r="56" spans="1:28" x14ac:dyDescent="0.25">
      <c r="A56" s="17"/>
      <c r="B56" s="19" t="s">
        <v>9</v>
      </c>
      <c r="C56" s="32" t="str">
        <f>'S 1000-M 500'!C56</f>
        <v>save 953</v>
      </c>
      <c r="D56" s="70"/>
      <c r="E56" s="51"/>
      <c r="F56" s="50"/>
      <c r="G56" s="51"/>
      <c r="H56" s="50"/>
      <c r="I56" s="50"/>
      <c r="J56" s="51"/>
      <c r="K56" s="50"/>
      <c r="L56" s="51"/>
      <c r="N56" s="112"/>
      <c r="O56" s="300"/>
      <c r="P56" s="301"/>
      <c r="Q56" s="396"/>
      <c r="R56" s="300"/>
      <c r="S56" s="301"/>
      <c r="T56" s="396"/>
      <c r="U56" s="300"/>
      <c r="V56" s="307"/>
      <c r="W56" s="301"/>
      <c r="X56" s="396"/>
      <c r="Y56" s="300"/>
      <c r="Z56" s="301"/>
    </row>
    <row r="57" spans="1:28" x14ac:dyDescent="0.25">
      <c r="A57" s="17"/>
      <c r="B57" s="19" t="s">
        <v>25</v>
      </c>
      <c r="C57" s="32"/>
      <c r="D57" s="50"/>
      <c r="E57" s="51"/>
      <c r="F57" s="50"/>
      <c r="G57" s="51"/>
      <c r="H57" s="50"/>
      <c r="I57" s="50"/>
      <c r="J57" s="51"/>
      <c r="K57" s="50"/>
      <c r="L57" s="51"/>
      <c r="N57" s="112"/>
      <c r="O57" s="300"/>
      <c r="P57" s="301"/>
      <c r="Q57" s="396"/>
      <c r="R57" s="300"/>
      <c r="S57" s="301"/>
      <c r="T57" s="396"/>
      <c r="U57" s="300"/>
      <c r="V57" s="307"/>
      <c r="W57" s="301"/>
      <c r="X57" s="396"/>
      <c r="Y57" s="300"/>
      <c r="Z57" s="301"/>
    </row>
    <row r="58" spans="1:28" x14ac:dyDescent="0.25">
      <c r="A58" s="5"/>
      <c r="B58" s="252" t="s">
        <v>121</v>
      </c>
      <c r="C58" s="26"/>
      <c r="D58" s="50"/>
      <c r="E58" s="51"/>
      <c r="F58" s="50"/>
      <c r="G58" s="51"/>
      <c r="H58" s="50"/>
      <c r="I58" s="50"/>
      <c r="J58" s="51"/>
      <c r="K58" s="50"/>
      <c r="L58" s="51"/>
      <c r="N58" s="113"/>
      <c r="O58" s="302"/>
      <c r="P58" s="303"/>
      <c r="Q58" s="397"/>
      <c r="R58" s="302"/>
      <c r="S58" s="303"/>
      <c r="T58" s="397"/>
      <c r="U58" s="302"/>
      <c r="V58" s="309"/>
      <c r="W58" s="303"/>
      <c r="X58" s="397"/>
      <c r="Y58" s="302"/>
      <c r="Z58" s="303"/>
    </row>
    <row r="59" spans="1:28" x14ac:dyDescent="0.25">
      <c r="A59" s="12"/>
      <c r="B59" s="274" t="s">
        <v>112</v>
      </c>
      <c r="C59" s="14">
        <f>'S 1000-M 500'!C59</f>
        <v>4204</v>
      </c>
      <c r="D59" s="64">
        <f>(C76)*D52+(C77+550)</f>
        <v>1433.6999999999998</v>
      </c>
      <c r="E59" s="69">
        <f>C59-D59</f>
        <v>2770.3</v>
      </c>
      <c r="F59" s="64">
        <f>(C76)*F52</f>
        <v>1245.3</v>
      </c>
      <c r="G59" s="69">
        <f>E59-F59</f>
        <v>1525.0000000000002</v>
      </c>
      <c r="H59" s="64">
        <f>(C76-300)*H52</f>
        <v>325.8</v>
      </c>
      <c r="I59" s="64">
        <f>(C76-300)*I52</f>
        <v>325.8</v>
      </c>
      <c r="J59" s="69">
        <f>G59-H59-I59</f>
        <v>873.40000000000032</v>
      </c>
      <c r="K59" s="64">
        <f>(C76-300)*K52</f>
        <v>325.8</v>
      </c>
      <c r="L59" s="69">
        <f>J59-K59</f>
        <v>547.60000000000036</v>
      </c>
      <c r="N59" s="114">
        <f>N52*0.3</f>
        <v>210</v>
      </c>
      <c r="O59" s="298">
        <f>D59*N59</f>
        <v>301076.99999999994</v>
      </c>
      <c r="P59" s="299">
        <f>C59*N59</f>
        <v>882840</v>
      </c>
      <c r="Q59" s="398">
        <f>Q52*0.3</f>
        <v>210</v>
      </c>
      <c r="R59" s="298">
        <f>F59*Q59</f>
        <v>261513</v>
      </c>
      <c r="S59" s="299">
        <f>E59*Q59</f>
        <v>581763</v>
      </c>
      <c r="T59" s="398">
        <f>T52*0.3</f>
        <v>210</v>
      </c>
      <c r="U59" s="298">
        <f>H59*T59</f>
        <v>68418</v>
      </c>
      <c r="V59" s="305">
        <f>I59*T59</f>
        <v>68418</v>
      </c>
      <c r="W59" s="299">
        <f>G59*T59</f>
        <v>320250.00000000006</v>
      </c>
      <c r="X59" s="398">
        <f>X52*0.3</f>
        <v>210</v>
      </c>
      <c r="Y59" s="298">
        <f>K59*X59</f>
        <v>68418</v>
      </c>
      <c r="Z59" s="299">
        <f>X59*J59</f>
        <v>183414.00000000006</v>
      </c>
      <c r="AA59" s="141" t="s">
        <v>95</v>
      </c>
    </row>
    <row r="60" spans="1:28" x14ac:dyDescent="0.25">
      <c r="A60" s="17"/>
      <c r="B60" s="252" t="s">
        <v>120</v>
      </c>
      <c r="C60" s="32" t="str">
        <f>'S 1000-M 500'!C60</f>
        <v>Valued at 4,768</v>
      </c>
      <c r="D60" s="70"/>
      <c r="E60" s="51"/>
      <c r="F60" s="50"/>
      <c r="G60" s="51"/>
      <c r="H60" s="50"/>
      <c r="I60" s="50"/>
      <c r="J60" s="51"/>
      <c r="K60" s="50"/>
      <c r="L60" s="51"/>
      <c r="N60" s="112"/>
      <c r="O60" s="300"/>
      <c r="P60" s="301"/>
      <c r="Q60" s="396"/>
      <c r="R60" s="300"/>
      <c r="S60" s="301"/>
      <c r="T60" s="396"/>
      <c r="U60" s="300"/>
      <c r="V60" s="307"/>
      <c r="W60" s="301"/>
      <c r="X60" s="396"/>
      <c r="Y60" s="300"/>
      <c r="Z60" s="301"/>
    </row>
    <row r="61" spans="1:28" x14ac:dyDescent="0.25">
      <c r="A61" s="17"/>
      <c r="B61" s="19" t="s">
        <v>9</v>
      </c>
      <c r="C61" s="32" t="str">
        <f>'S 1000-M 500'!C61</f>
        <v>save 564</v>
      </c>
      <c r="D61" s="70"/>
      <c r="E61" s="51"/>
      <c r="F61" s="50"/>
      <c r="G61" s="51"/>
      <c r="H61" s="50"/>
      <c r="I61" s="50"/>
      <c r="J61" s="51"/>
      <c r="K61" s="50"/>
      <c r="L61" s="51"/>
      <c r="N61" s="112"/>
      <c r="O61" s="300"/>
      <c r="P61" s="301"/>
      <c r="Q61" s="396"/>
      <c r="R61" s="300"/>
      <c r="S61" s="301"/>
      <c r="T61" s="396"/>
      <c r="U61" s="300"/>
      <c r="V61" s="307"/>
      <c r="W61" s="301"/>
      <c r="X61" s="396"/>
      <c r="Y61" s="300"/>
      <c r="Z61" s="301"/>
    </row>
    <row r="62" spans="1:28" x14ac:dyDescent="0.25">
      <c r="A62" s="5"/>
      <c r="B62" s="20" t="s">
        <v>25</v>
      </c>
      <c r="C62" s="7"/>
      <c r="D62" s="65"/>
      <c r="E62" s="71"/>
      <c r="F62" s="65"/>
      <c r="G62" s="71"/>
      <c r="H62" s="65"/>
      <c r="I62" s="65"/>
      <c r="J62" s="71"/>
      <c r="K62" s="65"/>
      <c r="L62" s="71"/>
      <c r="N62" s="113"/>
      <c r="O62" s="302"/>
      <c r="P62" s="303"/>
      <c r="Q62" s="397"/>
      <c r="R62" s="302"/>
      <c r="S62" s="303"/>
      <c r="T62" s="397"/>
      <c r="U62" s="302"/>
      <c r="V62" s="309"/>
      <c r="W62" s="303"/>
      <c r="X62" s="397"/>
      <c r="Y62" s="302"/>
      <c r="Z62" s="303"/>
    </row>
    <row r="63" spans="1:28" x14ac:dyDescent="0.25">
      <c r="A63" s="12"/>
      <c r="B63" s="274" t="s">
        <v>113</v>
      </c>
      <c r="C63" s="14">
        <f>'S 1000-M 500'!C63</f>
        <v>3874</v>
      </c>
      <c r="D63" s="64">
        <f>(C76)*D52+550</f>
        <v>1083.6999999999998</v>
      </c>
      <c r="E63" s="69">
        <f>C63-D63</f>
        <v>2790.3</v>
      </c>
      <c r="F63" s="64">
        <f>(C76)*F52</f>
        <v>1245.3</v>
      </c>
      <c r="G63" s="69">
        <f>E63-F63</f>
        <v>1545.0000000000002</v>
      </c>
      <c r="H63" s="64">
        <f>(C76-200)*H52</f>
        <v>335.8</v>
      </c>
      <c r="I63" s="64">
        <f>(C76-200)*I52</f>
        <v>335.8</v>
      </c>
      <c r="J63" s="69">
        <f>G63-H63-I63</f>
        <v>873.40000000000032</v>
      </c>
      <c r="K63" s="64">
        <f>(C76-200)*K52</f>
        <v>335.8</v>
      </c>
      <c r="L63" s="69">
        <f>J63-K63</f>
        <v>537.60000000000036</v>
      </c>
      <c r="N63" s="112">
        <f>N52*0.2</f>
        <v>140</v>
      </c>
      <c r="O63" s="298">
        <f>D63*N63</f>
        <v>151717.99999999997</v>
      </c>
      <c r="P63" s="299">
        <f>C63*N63</f>
        <v>542360</v>
      </c>
      <c r="Q63" s="396">
        <f>Q52*0.2</f>
        <v>140</v>
      </c>
      <c r="R63" s="298">
        <f>F63*Q63</f>
        <v>174342</v>
      </c>
      <c r="S63" s="299">
        <f>E63*Q63</f>
        <v>390642</v>
      </c>
      <c r="T63" s="396">
        <f>T52*0.2</f>
        <v>140</v>
      </c>
      <c r="U63" s="298">
        <f>H63*T63</f>
        <v>47012</v>
      </c>
      <c r="V63" s="305">
        <f>I63*T63</f>
        <v>47012</v>
      </c>
      <c r="W63" s="299">
        <f>G63*T63</f>
        <v>216300.00000000003</v>
      </c>
      <c r="X63" s="396">
        <f>X52*0.2</f>
        <v>140</v>
      </c>
      <c r="Y63" s="298">
        <f>K63*X63</f>
        <v>47012</v>
      </c>
      <c r="Z63" s="299">
        <f>X63*J63</f>
        <v>122276.00000000004</v>
      </c>
      <c r="AA63" s="141" t="s">
        <v>96</v>
      </c>
    </row>
    <row r="64" spans="1:28" x14ac:dyDescent="0.25">
      <c r="A64" s="17"/>
      <c r="B64" s="252" t="s">
        <v>120</v>
      </c>
      <c r="C64" s="32" t="str">
        <f>'S 1000-M 500'!C64</f>
        <v>Valued at 4,438</v>
      </c>
      <c r="D64" s="70"/>
      <c r="E64" s="51"/>
      <c r="F64" s="50"/>
      <c r="G64" s="51"/>
      <c r="H64" s="50"/>
      <c r="I64" s="50"/>
      <c r="J64" s="51"/>
      <c r="K64" s="50"/>
      <c r="L64" s="51"/>
      <c r="N64" s="112"/>
      <c r="O64" s="300"/>
      <c r="P64" s="301"/>
      <c r="Q64" s="396"/>
      <c r="R64" s="300"/>
      <c r="S64" s="301"/>
      <c r="T64" s="396"/>
      <c r="U64" s="300"/>
      <c r="V64" s="307"/>
      <c r="W64" s="301"/>
      <c r="X64" s="396"/>
      <c r="Y64" s="300"/>
      <c r="Z64" s="301"/>
    </row>
    <row r="65" spans="1:27" x14ac:dyDescent="0.25">
      <c r="A65" s="5"/>
      <c r="B65" s="20" t="s">
        <v>25</v>
      </c>
      <c r="C65" s="32" t="str">
        <f>'S 1000-M 500'!C65</f>
        <v>save 564</v>
      </c>
      <c r="D65" s="70"/>
      <c r="E65" s="71"/>
      <c r="F65" s="65"/>
      <c r="G65" s="71"/>
      <c r="H65" s="65"/>
      <c r="I65" s="65"/>
      <c r="J65" s="71"/>
      <c r="K65" s="65"/>
      <c r="L65" s="71"/>
      <c r="N65" s="112"/>
      <c r="O65" s="300"/>
      <c r="P65" s="301"/>
      <c r="Q65" s="396"/>
      <c r="R65" s="300"/>
      <c r="S65" s="301"/>
      <c r="T65" s="396"/>
      <c r="U65" s="300"/>
      <c r="V65" s="307"/>
      <c r="W65" s="301"/>
      <c r="X65" s="396"/>
      <c r="Y65" s="300"/>
      <c r="Z65" s="301"/>
    </row>
    <row r="66" spans="1:27" x14ac:dyDescent="0.25">
      <c r="A66" s="12"/>
      <c r="B66" s="274" t="s">
        <v>127</v>
      </c>
      <c r="C66" s="14">
        <f>'S 1000-M 500'!C66</f>
        <v>3558</v>
      </c>
      <c r="D66" s="57">
        <f>C66*D52</f>
        <v>533.69999999999993</v>
      </c>
      <c r="E66" s="45">
        <f>C66-D66</f>
        <v>3024.3</v>
      </c>
      <c r="F66" s="44">
        <f>C66*F52</f>
        <v>1245.3</v>
      </c>
      <c r="G66" s="45">
        <f>E66-F66</f>
        <v>1779.0000000000002</v>
      </c>
      <c r="H66" s="44">
        <f>C66*H52</f>
        <v>355.8</v>
      </c>
      <c r="I66" s="44">
        <f>C66*I52</f>
        <v>355.8</v>
      </c>
      <c r="J66" s="69">
        <f>G66-H66-I66</f>
        <v>1067.4000000000003</v>
      </c>
      <c r="K66" s="44">
        <f>C66*K52</f>
        <v>355.8</v>
      </c>
      <c r="L66" s="45">
        <f>J66-K66</f>
        <v>711.60000000000036</v>
      </c>
      <c r="N66" s="114">
        <f>N52*0.1</f>
        <v>70</v>
      </c>
      <c r="O66" s="298">
        <f>D66*N66</f>
        <v>37358.999999999993</v>
      </c>
      <c r="P66" s="299">
        <f>C66*N66</f>
        <v>249060</v>
      </c>
      <c r="Q66" s="398">
        <f>Q52*0.1</f>
        <v>70</v>
      </c>
      <c r="R66" s="298">
        <f>F66*Q66</f>
        <v>87171</v>
      </c>
      <c r="S66" s="299">
        <f>E66*Q66</f>
        <v>211701</v>
      </c>
      <c r="T66" s="398">
        <f>T52*0.1</f>
        <v>70</v>
      </c>
      <c r="U66" s="298">
        <f>H66*T66</f>
        <v>24906</v>
      </c>
      <c r="V66" s="305">
        <f>I66*T66</f>
        <v>24906</v>
      </c>
      <c r="W66" s="299">
        <f>G66*T66</f>
        <v>124530.00000000001</v>
      </c>
      <c r="X66" s="398">
        <f>X52*0.1</f>
        <v>70</v>
      </c>
      <c r="Y66" s="298">
        <f>K66*X66</f>
        <v>24906</v>
      </c>
      <c r="Z66" s="299">
        <f>X66*J66</f>
        <v>74718.000000000029</v>
      </c>
      <c r="AA66" s="141" t="s">
        <v>97</v>
      </c>
    </row>
    <row r="67" spans="1:27" x14ac:dyDescent="0.25">
      <c r="A67" s="17"/>
      <c r="B67" s="252" t="s">
        <v>120</v>
      </c>
      <c r="C67" s="26" t="str">
        <f>'S 1000-M 500'!C67</f>
        <v>Valued at 3,888</v>
      </c>
      <c r="D67" s="50"/>
      <c r="E67" s="202"/>
      <c r="F67" s="203"/>
      <c r="G67" s="202"/>
      <c r="H67" s="203"/>
      <c r="I67" s="203"/>
      <c r="J67" s="202"/>
      <c r="K67" s="203"/>
      <c r="L67" s="202"/>
      <c r="N67" s="112"/>
      <c r="O67" s="168"/>
      <c r="P67" s="103"/>
      <c r="Q67" s="112"/>
      <c r="R67" s="168"/>
      <c r="S67" s="103"/>
      <c r="T67" s="112"/>
      <c r="U67" s="168"/>
      <c r="V67" s="230"/>
      <c r="W67" s="103"/>
      <c r="X67" s="112"/>
      <c r="Y67" s="168"/>
      <c r="Z67" s="103"/>
      <c r="AA67" s="141"/>
    </row>
    <row r="68" spans="1:27" ht="16.5" thickBot="1" x14ac:dyDescent="0.3">
      <c r="A68" s="5"/>
      <c r="B68" s="20"/>
      <c r="C68" s="36" t="str">
        <f>'S 1000-M 500'!C68</f>
        <v>Save 330</v>
      </c>
      <c r="D68" s="73"/>
      <c r="E68" s="74"/>
      <c r="F68" s="75"/>
      <c r="G68" s="74"/>
      <c r="H68" s="75"/>
      <c r="I68" s="75"/>
      <c r="J68" s="74"/>
      <c r="K68" s="75"/>
      <c r="L68" s="74"/>
      <c r="N68" s="115"/>
      <c r="O68" s="130"/>
      <c r="P68" s="106"/>
      <c r="Q68" s="115"/>
      <c r="R68" s="130"/>
      <c r="S68" s="106"/>
      <c r="T68" s="115"/>
      <c r="U68" s="130"/>
      <c r="V68" s="231"/>
      <c r="W68" s="106"/>
      <c r="X68" s="116"/>
      <c r="Y68" s="130"/>
      <c r="Z68" s="106"/>
    </row>
    <row r="69" spans="1:27" x14ac:dyDescent="0.25"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7" x14ac:dyDescent="0.25">
      <c r="N70" s="117"/>
      <c r="O70" s="316">
        <f>SUM(O54:O69)</f>
        <v>1101590</v>
      </c>
      <c r="P70" s="266">
        <f>SUM(P54:P69)</f>
        <v>2958060</v>
      </c>
      <c r="Q70" s="266"/>
      <c r="R70" s="316">
        <f>SUM(R54:R69)</f>
        <v>871710</v>
      </c>
      <c r="S70" s="266">
        <f>SUM(S54:S69)</f>
        <v>1856470</v>
      </c>
      <c r="T70" s="266"/>
      <c r="U70" s="316">
        <f>SUM(U54:U69)</f>
        <v>228760</v>
      </c>
      <c r="V70" s="266">
        <f>SUM(V54:V69)</f>
        <v>228760</v>
      </c>
      <c r="W70" s="266">
        <f>SUM(W54:W69)</f>
        <v>984760.00000000012</v>
      </c>
      <c r="X70" s="266"/>
      <c r="Y70" s="316">
        <f>SUM(Y54:Y69)</f>
        <v>228760</v>
      </c>
      <c r="Z70" s="266">
        <f>SUM(Z54:Z69)</f>
        <v>527240.00000000023</v>
      </c>
    </row>
    <row r="71" spans="1:27" x14ac:dyDescent="0.25">
      <c r="B71" s="35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117"/>
    </row>
    <row r="72" spans="1:27" x14ac:dyDescent="0.25">
      <c r="B72" s="35"/>
      <c r="N72" s="117"/>
      <c r="O72" s="151">
        <f>O70/P70</f>
        <v>0.37240285863031852</v>
      </c>
      <c r="R72" s="151">
        <f>R70/S70</f>
        <v>0.46955243014969272</v>
      </c>
      <c r="U72" s="151">
        <f>(U70+V70)/W70</f>
        <v>0.46460051179982936</v>
      </c>
      <c r="V72" s="151"/>
      <c r="Y72" s="151">
        <f>Y70/Z70</f>
        <v>0.43388210302708424</v>
      </c>
      <c r="Z72" s="117"/>
    </row>
    <row r="73" spans="1:27" x14ac:dyDescent="0.25">
      <c r="B73" s="35" t="s">
        <v>6</v>
      </c>
      <c r="N73" s="117"/>
      <c r="O73" s="117"/>
      <c r="P73" s="117"/>
      <c r="Q73" s="117"/>
      <c r="R73" s="117"/>
      <c r="S73" s="117"/>
      <c r="T73" s="117"/>
      <c r="U73" s="117"/>
      <c r="V73" s="117"/>
      <c r="W73" s="117"/>
      <c r="X73" s="117"/>
      <c r="Y73" s="117"/>
      <c r="Z73" s="117"/>
    </row>
    <row r="74" spans="1:27" ht="16.5" thickBot="1" x14ac:dyDescent="0.3">
      <c r="A74" s="2"/>
      <c r="B74" s="2"/>
      <c r="C74" s="2"/>
      <c r="D74" s="38">
        <v>0.15</v>
      </c>
      <c r="E74" s="2"/>
      <c r="F74" s="38">
        <v>0.35</v>
      </c>
      <c r="G74" s="2"/>
      <c r="H74" s="38">
        <v>0.1</v>
      </c>
      <c r="I74" s="38"/>
      <c r="J74" s="38"/>
      <c r="K74" s="38">
        <v>0.1</v>
      </c>
      <c r="L74" s="2"/>
      <c r="P74" s="95" t="s">
        <v>67</v>
      </c>
      <c r="S74" s="95" t="s">
        <v>88</v>
      </c>
      <c r="W74" s="95" t="s">
        <v>56</v>
      </c>
      <c r="Z74" s="122" t="s">
        <v>57</v>
      </c>
    </row>
    <row r="75" spans="1:27" s="2" customFormat="1" ht="15" x14ac:dyDescent="0.25">
      <c r="A75" s="8"/>
      <c r="B75" s="8" t="s">
        <v>5</v>
      </c>
      <c r="C75" s="39" t="s">
        <v>27</v>
      </c>
      <c r="D75" s="42" t="s">
        <v>32</v>
      </c>
      <c r="E75" s="43" t="s">
        <v>28</v>
      </c>
      <c r="F75" s="63" t="s">
        <v>32</v>
      </c>
      <c r="G75" s="83" t="s">
        <v>29</v>
      </c>
      <c r="H75" s="42" t="s">
        <v>32</v>
      </c>
      <c r="I75" s="42" t="s">
        <v>89</v>
      </c>
      <c r="J75" s="43" t="s">
        <v>30</v>
      </c>
      <c r="K75" s="63" t="s">
        <v>32</v>
      </c>
      <c r="L75" s="43" t="s">
        <v>31</v>
      </c>
      <c r="N75" s="109" t="s">
        <v>58</v>
      </c>
      <c r="O75" s="129" t="s">
        <v>32</v>
      </c>
      <c r="P75" s="110" t="s">
        <v>55</v>
      </c>
      <c r="Q75" s="109" t="s">
        <v>58</v>
      </c>
      <c r="R75" s="129" t="s">
        <v>32</v>
      </c>
      <c r="S75" s="110" t="s">
        <v>55</v>
      </c>
      <c r="T75" s="109" t="s">
        <v>58</v>
      </c>
      <c r="U75" s="220" t="s">
        <v>32</v>
      </c>
      <c r="V75" s="212" t="s">
        <v>89</v>
      </c>
      <c r="W75" s="110" t="s">
        <v>55</v>
      </c>
      <c r="X75" s="109" t="s">
        <v>66</v>
      </c>
      <c r="Y75" s="129" t="s">
        <v>32</v>
      </c>
      <c r="Z75" s="110" t="s">
        <v>55</v>
      </c>
    </row>
    <row r="76" spans="1:27" s="2" customFormat="1" x14ac:dyDescent="0.25">
      <c r="A76" s="6">
        <v>1</v>
      </c>
      <c r="B76" s="274" t="s">
        <v>132</v>
      </c>
      <c r="C76" s="348">
        <f>'S 1000-M 500'!C76</f>
        <v>3558</v>
      </c>
      <c r="D76" s="349">
        <f>C76*D74</f>
        <v>533.69999999999993</v>
      </c>
      <c r="E76" s="350">
        <f>C76-D76</f>
        <v>3024.3</v>
      </c>
      <c r="F76" s="351">
        <f>C76*F74</f>
        <v>1245.3</v>
      </c>
      <c r="G76" s="352">
        <f>E76-F76</f>
        <v>1779.0000000000002</v>
      </c>
      <c r="H76" s="353">
        <f>C76*H74</f>
        <v>355.8</v>
      </c>
      <c r="I76" s="353">
        <f>C76*H74</f>
        <v>355.8</v>
      </c>
      <c r="J76" s="350">
        <f>G76-H76-I76</f>
        <v>1067.4000000000003</v>
      </c>
      <c r="K76" s="351">
        <f>C76*K74</f>
        <v>355.8</v>
      </c>
      <c r="L76" s="350">
        <f>J76-K76</f>
        <v>711.60000000000036</v>
      </c>
      <c r="N76" s="121">
        <v>0</v>
      </c>
      <c r="O76" s="118">
        <f>E76*N76</f>
        <v>0</v>
      </c>
      <c r="P76" s="107">
        <v>0</v>
      </c>
      <c r="Q76" s="121">
        <v>0</v>
      </c>
      <c r="R76" s="118">
        <f>H76*Q76</f>
        <v>0</v>
      </c>
      <c r="S76" s="107">
        <v>0</v>
      </c>
      <c r="T76" s="121">
        <v>0</v>
      </c>
      <c r="U76" s="221">
        <f>H76*T76</f>
        <v>0</v>
      </c>
      <c r="V76" s="227">
        <v>0</v>
      </c>
      <c r="W76" s="107">
        <f>E76*T76</f>
        <v>0</v>
      </c>
      <c r="X76" s="111">
        <v>0</v>
      </c>
      <c r="Y76" s="118">
        <v>0</v>
      </c>
      <c r="Z76" s="107">
        <f>X76*L76</f>
        <v>0</v>
      </c>
    </row>
    <row r="77" spans="1:27" s="2" customFormat="1" x14ac:dyDescent="0.25">
      <c r="A77" s="6">
        <v>2</v>
      </c>
      <c r="B77" s="37" t="s">
        <v>0</v>
      </c>
      <c r="C77" s="348">
        <f>'S 1000-M 500'!C77</f>
        <v>350</v>
      </c>
      <c r="D77" s="354">
        <v>350</v>
      </c>
      <c r="E77" s="355">
        <v>0</v>
      </c>
      <c r="F77" s="356" t="s">
        <v>33</v>
      </c>
      <c r="G77" s="357" t="s">
        <v>33</v>
      </c>
      <c r="H77" s="358" t="s">
        <v>33</v>
      </c>
      <c r="I77" s="359" t="s">
        <v>33</v>
      </c>
      <c r="J77" s="355" t="s">
        <v>33</v>
      </c>
      <c r="K77" s="356" t="s">
        <v>33</v>
      </c>
      <c r="L77" s="355" t="s">
        <v>33</v>
      </c>
      <c r="N77" s="131">
        <f>(N63+N66)*0.5</f>
        <v>105</v>
      </c>
      <c r="O77" s="317">
        <f>D77*N77</f>
        <v>36750</v>
      </c>
      <c r="P77" s="317">
        <f>C77*N77</f>
        <v>36750</v>
      </c>
      <c r="Q77" s="318" t="s">
        <v>33</v>
      </c>
      <c r="R77" s="317" t="s">
        <v>33</v>
      </c>
      <c r="S77" s="317" t="s">
        <v>33</v>
      </c>
      <c r="T77" s="318" t="s">
        <v>33</v>
      </c>
      <c r="U77" s="319" t="s">
        <v>33</v>
      </c>
      <c r="V77" s="320" t="s">
        <v>33</v>
      </c>
      <c r="W77" s="321" t="s">
        <v>33</v>
      </c>
      <c r="X77" s="318" t="s">
        <v>33</v>
      </c>
      <c r="Y77" s="317" t="s">
        <v>33</v>
      </c>
      <c r="Z77" s="322" t="s">
        <v>33</v>
      </c>
      <c r="AA77" s="141" t="s">
        <v>59</v>
      </c>
    </row>
    <row r="78" spans="1:27" s="2" customFormat="1" x14ac:dyDescent="0.25">
      <c r="A78" s="4">
        <v>3</v>
      </c>
      <c r="B78" s="37" t="s">
        <v>16</v>
      </c>
      <c r="C78" s="348">
        <f>'S 1000-M 500'!C78</f>
        <v>500</v>
      </c>
      <c r="D78" s="349">
        <f>C78*D74</f>
        <v>75</v>
      </c>
      <c r="E78" s="350">
        <f>C78-D78</f>
        <v>425</v>
      </c>
      <c r="F78" s="351">
        <f>C78*F74</f>
        <v>175</v>
      </c>
      <c r="G78" s="352">
        <f>E78-F78</f>
        <v>250</v>
      </c>
      <c r="H78" s="353">
        <f>C78*H74</f>
        <v>50</v>
      </c>
      <c r="I78" s="353">
        <f>C78*H74</f>
        <v>50</v>
      </c>
      <c r="J78" s="350">
        <f>G78-H78-I78</f>
        <v>150</v>
      </c>
      <c r="K78" s="351">
        <f>C78*K74</f>
        <v>50</v>
      </c>
      <c r="L78" s="350">
        <f>J78-K78</f>
        <v>100</v>
      </c>
      <c r="N78" s="131">
        <f>0.1*N52</f>
        <v>70</v>
      </c>
      <c r="O78" s="317">
        <f>D78*N78</f>
        <v>5250</v>
      </c>
      <c r="P78" s="317">
        <f>C78*N78</f>
        <v>35000</v>
      </c>
      <c r="Q78" s="318">
        <f>0.1*Q52</f>
        <v>70</v>
      </c>
      <c r="R78" s="317">
        <f>F78*N78</f>
        <v>12250</v>
      </c>
      <c r="S78" s="317">
        <f>E78*Q78</f>
        <v>29750</v>
      </c>
      <c r="T78" s="318">
        <f>0.1*T52</f>
        <v>70</v>
      </c>
      <c r="U78" s="319">
        <f>H78*T78</f>
        <v>3500</v>
      </c>
      <c r="V78" s="320">
        <f>I78*T78</f>
        <v>3500</v>
      </c>
      <c r="W78" s="321">
        <f>G78*T78</f>
        <v>17500</v>
      </c>
      <c r="X78" s="318">
        <f>0.1*X52</f>
        <v>70</v>
      </c>
      <c r="Y78" s="317">
        <f>K78*X78</f>
        <v>3500</v>
      </c>
      <c r="Z78" s="323">
        <f>J78*X78</f>
        <v>10500</v>
      </c>
      <c r="AA78" s="141" t="s">
        <v>97</v>
      </c>
    </row>
    <row r="79" spans="1:27" s="2" customFormat="1" x14ac:dyDescent="0.25">
      <c r="A79" s="23">
        <v>4</v>
      </c>
      <c r="B79" s="4" t="s">
        <v>38</v>
      </c>
      <c r="C79" s="348">
        <f>'S 1000-M 500'!C79</f>
        <v>550</v>
      </c>
      <c r="D79" s="360">
        <v>550</v>
      </c>
      <c r="E79" s="355">
        <v>0</v>
      </c>
      <c r="F79" s="356" t="s">
        <v>33</v>
      </c>
      <c r="G79" s="357" t="s">
        <v>33</v>
      </c>
      <c r="H79" s="358" t="s">
        <v>33</v>
      </c>
      <c r="I79" s="359" t="s">
        <v>33</v>
      </c>
      <c r="J79" s="355" t="s">
        <v>33</v>
      </c>
      <c r="K79" s="356" t="s">
        <v>33</v>
      </c>
      <c r="L79" s="355" t="s">
        <v>33</v>
      </c>
      <c r="N79" s="131">
        <f>0.3*N66</f>
        <v>21</v>
      </c>
      <c r="O79" s="317">
        <f>D79*N79</f>
        <v>11550</v>
      </c>
      <c r="P79" s="317">
        <f>C79*N79</f>
        <v>11550</v>
      </c>
      <c r="Q79" s="318" t="s">
        <v>33</v>
      </c>
      <c r="R79" s="317" t="s">
        <v>33</v>
      </c>
      <c r="S79" s="317" t="s">
        <v>33</v>
      </c>
      <c r="T79" s="318" t="s">
        <v>33</v>
      </c>
      <c r="U79" s="319" t="s">
        <v>33</v>
      </c>
      <c r="V79" s="320" t="s">
        <v>33</v>
      </c>
      <c r="W79" s="324" t="s">
        <v>33</v>
      </c>
      <c r="X79" s="318" t="s">
        <v>33</v>
      </c>
      <c r="Y79" s="317" t="s">
        <v>33</v>
      </c>
      <c r="Z79" s="323" t="s">
        <v>33</v>
      </c>
      <c r="AA79" s="141" t="s">
        <v>61</v>
      </c>
    </row>
    <row r="80" spans="1:27" s="2" customFormat="1" x14ac:dyDescent="0.25">
      <c r="A80" s="23">
        <v>5</v>
      </c>
      <c r="B80" s="92" t="s">
        <v>48</v>
      </c>
      <c r="C80" s="348">
        <f>'S 1000-M 500'!C80</f>
        <v>150</v>
      </c>
      <c r="D80" s="361" t="s">
        <v>33</v>
      </c>
      <c r="E80" s="362" t="s">
        <v>33</v>
      </c>
      <c r="F80" s="361" t="s">
        <v>33</v>
      </c>
      <c r="G80" s="362" t="s">
        <v>33</v>
      </c>
      <c r="H80" s="358">
        <v>150</v>
      </c>
      <c r="I80" s="359" t="s">
        <v>33</v>
      </c>
      <c r="J80" s="355">
        <v>0</v>
      </c>
      <c r="K80" s="363" t="s">
        <v>33</v>
      </c>
      <c r="L80" s="362" t="s">
        <v>33</v>
      </c>
      <c r="N80" s="131" t="s">
        <v>33</v>
      </c>
      <c r="O80" s="317" t="s">
        <v>33</v>
      </c>
      <c r="P80" s="317" t="s">
        <v>33</v>
      </c>
      <c r="Q80" s="318" t="s">
        <v>33</v>
      </c>
      <c r="R80" s="317" t="s">
        <v>33</v>
      </c>
      <c r="S80" s="317" t="s">
        <v>33</v>
      </c>
      <c r="T80" s="318">
        <f>T52*0.2</f>
        <v>140</v>
      </c>
      <c r="U80" s="319">
        <f>H80*T80</f>
        <v>21000</v>
      </c>
      <c r="V80" s="320" t="s">
        <v>33</v>
      </c>
      <c r="W80" s="321">
        <f>C80*T80</f>
        <v>21000</v>
      </c>
      <c r="X80" s="318" t="s">
        <v>33</v>
      </c>
      <c r="Y80" s="317" t="s">
        <v>33</v>
      </c>
      <c r="Z80" s="323" t="s">
        <v>33</v>
      </c>
      <c r="AA80" s="141" t="s">
        <v>96</v>
      </c>
    </row>
    <row r="81" spans="1:31" s="2" customFormat="1" x14ac:dyDescent="0.25">
      <c r="A81" s="13">
        <v>6</v>
      </c>
      <c r="B81" s="4" t="s">
        <v>7</v>
      </c>
      <c r="C81" s="348">
        <f>'S 1000-M 500'!C81</f>
        <v>280</v>
      </c>
      <c r="D81" s="360">
        <v>280</v>
      </c>
      <c r="E81" s="355">
        <v>0</v>
      </c>
      <c r="F81" s="356" t="s">
        <v>33</v>
      </c>
      <c r="G81" s="357" t="s">
        <v>33</v>
      </c>
      <c r="H81" s="358" t="s">
        <v>33</v>
      </c>
      <c r="I81" s="359" t="s">
        <v>33</v>
      </c>
      <c r="J81" s="355" t="s">
        <v>33</v>
      </c>
      <c r="K81" s="356" t="s">
        <v>33</v>
      </c>
      <c r="L81" s="355" t="s">
        <v>33</v>
      </c>
      <c r="N81" s="134">
        <f>(N59+N63+N66)*0.2</f>
        <v>84</v>
      </c>
      <c r="O81" s="317">
        <f>D81*N81</f>
        <v>23520</v>
      </c>
      <c r="P81" s="317">
        <f>C81*N81</f>
        <v>23520</v>
      </c>
      <c r="Q81" s="318" t="s">
        <v>33</v>
      </c>
      <c r="R81" s="317" t="s">
        <v>33</v>
      </c>
      <c r="S81" s="317" t="s">
        <v>33</v>
      </c>
      <c r="T81" s="325" t="s">
        <v>33</v>
      </c>
      <c r="U81" s="326" t="s">
        <v>33</v>
      </c>
      <c r="V81" s="327" t="s">
        <v>33</v>
      </c>
      <c r="W81" s="328" t="s">
        <v>33</v>
      </c>
      <c r="X81" s="318" t="s">
        <v>33</v>
      </c>
      <c r="Y81" s="317" t="s">
        <v>33</v>
      </c>
      <c r="Z81" s="323" t="s">
        <v>33</v>
      </c>
      <c r="AA81" s="141" t="s">
        <v>60</v>
      </c>
    </row>
    <row r="82" spans="1:31" s="2" customFormat="1" x14ac:dyDescent="0.25">
      <c r="A82" s="23">
        <v>7</v>
      </c>
      <c r="B82" s="92" t="s">
        <v>17</v>
      </c>
      <c r="C82" s="348">
        <f>'S 1000-M 500'!C82</f>
        <v>50</v>
      </c>
      <c r="D82" s="358">
        <v>50</v>
      </c>
      <c r="E82" s="355" t="s">
        <v>33</v>
      </c>
      <c r="F82" s="356" t="s">
        <v>33</v>
      </c>
      <c r="G82" s="364" t="s">
        <v>33</v>
      </c>
      <c r="H82" s="361" t="s">
        <v>33</v>
      </c>
      <c r="I82" s="359" t="s">
        <v>33</v>
      </c>
      <c r="J82" s="362" t="s">
        <v>33</v>
      </c>
      <c r="K82" s="363" t="s">
        <v>53</v>
      </c>
      <c r="L82" s="362" t="s">
        <v>53</v>
      </c>
      <c r="N82" s="134">
        <f>(N59+N63+N66)*0.2</f>
        <v>84</v>
      </c>
      <c r="O82" s="317">
        <f>D82*N82</f>
        <v>4200</v>
      </c>
      <c r="P82" s="317">
        <f>C82*N82</f>
        <v>4200</v>
      </c>
      <c r="Q82" s="318" t="s">
        <v>33</v>
      </c>
      <c r="R82" s="317" t="s">
        <v>33</v>
      </c>
      <c r="S82" s="317" t="s">
        <v>33</v>
      </c>
      <c r="T82" s="325" t="s">
        <v>33</v>
      </c>
      <c r="U82" s="329" t="s">
        <v>33</v>
      </c>
      <c r="V82" s="330" t="s">
        <v>33</v>
      </c>
      <c r="W82" s="331" t="s">
        <v>33</v>
      </c>
      <c r="X82" s="318" t="s">
        <v>33</v>
      </c>
      <c r="Y82" s="317" t="s">
        <v>33</v>
      </c>
      <c r="Z82" s="323" t="s">
        <v>33</v>
      </c>
      <c r="AA82" s="141" t="s">
        <v>60</v>
      </c>
    </row>
    <row r="83" spans="1:31" s="2" customFormat="1" x14ac:dyDescent="0.25">
      <c r="A83" s="23">
        <v>8</v>
      </c>
      <c r="B83" s="287" t="s">
        <v>116</v>
      </c>
      <c r="C83" s="348">
        <f>'S 1000-M 500'!C83</f>
        <v>750</v>
      </c>
      <c r="D83" s="349">
        <v>750</v>
      </c>
      <c r="E83" s="365">
        <v>0</v>
      </c>
      <c r="F83" s="366" t="s">
        <v>33</v>
      </c>
      <c r="G83" s="367" t="s">
        <v>33</v>
      </c>
      <c r="H83" s="368" t="s">
        <v>33</v>
      </c>
      <c r="I83" s="369" t="s">
        <v>33</v>
      </c>
      <c r="J83" s="370" t="s">
        <v>33</v>
      </c>
      <c r="K83" s="366" t="s">
        <v>33</v>
      </c>
      <c r="L83" s="370" t="s">
        <v>33</v>
      </c>
      <c r="N83" s="134">
        <f>(N59+N63+N66)*0.2</f>
        <v>84</v>
      </c>
      <c r="O83" s="332">
        <f>D83*N83</f>
        <v>63000</v>
      </c>
      <c r="P83" s="331">
        <f>C83*N83</f>
        <v>63000</v>
      </c>
      <c r="Q83" s="325" t="s">
        <v>33</v>
      </c>
      <c r="R83" s="332" t="s">
        <v>33</v>
      </c>
      <c r="S83" s="331" t="s">
        <v>33</v>
      </c>
      <c r="T83" s="325" t="s">
        <v>33</v>
      </c>
      <c r="U83" s="333" t="s">
        <v>33</v>
      </c>
      <c r="V83" s="330" t="s">
        <v>33</v>
      </c>
      <c r="W83" s="331" t="s">
        <v>33</v>
      </c>
      <c r="X83" s="325" t="s">
        <v>33</v>
      </c>
      <c r="Y83" s="333" t="s">
        <v>33</v>
      </c>
      <c r="Z83" s="334" t="s">
        <v>33</v>
      </c>
      <c r="AA83" s="141" t="s">
        <v>60</v>
      </c>
    </row>
    <row r="84" spans="1:31" s="2" customFormat="1" x14ac:dyDescent="0.25">
      <c r="A84" s="21"/>
      <c r="B84" s="22" t="s">
        <v>22</v>
      </c>
      <c r="C84" s="371"/>
      <c r="D84" s="372"/>
      <c r="E84" s="373"/>
      <c r="F84" s="374"/>
      <c r="G84" s="371"/>
      <c r="H84" s="372"/>
      <c r="I84" s="375"/>
      <c r="J84" s="373"/>
      <c r="K84" s="374"/>
      <c r="L84" s="373"/>
      <c r="N84" s="104"/>
      <c r="O84" s="300"/>
      <c r="P84" s="399"/>
      <c r="Q84" s="400"/>
      <c r="R84" s="300"/>
      <c r="S84" s="399"/>
      <c r="T84" s="400"/>
      <c r="U84" s="401"/>
      <c r="V84" s="307"/>
      <c r="W84" s="399"/>
      <c r="X84" s="400"/>
      <c r="Y84" s="401"/>
      <c r="Z84" s="301"/>
    </row>
    <row r="85" spans="1:31" s="2" customFormat="1" x14ac:dyDescent="0.25">
      <c r="A85" s="22"/>
      <c r="B85" s="22" t="s">
        <v>19</v>
      </c>
      <c r="C85" s="371"/>
      <c r="D85" s="372"/>
      <c r="E85" s="373"/>
      <c r="F85" s="374"/>
      <c r="G85" s="371"/>
      <c r="H85" s="372"/>
      <c r="I85" s="375"/>
      <c r="J85" s="373"/>
      <c r="K85" s="374"/>
      <c r="L85" s="373"/>
      <c r="N85" s="104"/>
      <c r="O85" s="402"/>
      <c r="P85" s="403"/>
      <c r="Q85" s="400"/>
      <c r="R85" s="402"/>
      <c r="S85" s="403"/>
      <c r="T85" s="400"/>
      <c r="U85" s="404"/>
      <c r="V85" s="405"/>
      <c r="W85" s="403"/>
      <c r="X85" s="400"/>
      <c r="Y85" s="404"/>
      <c r="Z85" s="406"/>
    </row>
    <row r="86" spans="1:31" s="2" customFormat="1" x14ac:dyDescent="0.25">
      <c r="A86" s="22"/>
      <c r="B86" s="22" t="s">
        <v>20</v>
      </c>
      <c r="C86" s="371"/>
      <c r="D86" s="372"/>
      <c r="E86" s="373"/>
      <c r="F86" s="374"/>
      <c r="G86" s="371"/>
      <c r="H86" s="372"/>
      <c r="I86" s="375"/>
      <c r="J86" s="373"/>
      <c r="K86" s="374"/>
      <c r="L86" s="373"/>
      <c r="N86" s="136"/>
      <c r="O86" s="302"/>
      <c r="P86" s="407"/>
      <c r="Q86" s="408"/>
      <c r="R86" s="302"/>
      <c r="S86" s="407"/>
      <c r="T86" s="408"/>
      <c r="U86" s="409"/>
      <c r="V86" s="309"/>
      <c r="W86" s="407"/>
      <c r="X86" s="408"/>
      <c r="Y86" s="409"/>
      <c r="Z86" s="303"/>
    </row>
    <row r="87" spans="1:31" s="2" customFormat="1" x14ac:dyDescent="0.25">
      <c r="A87" s="4">
        <v>9</v>
      </c>
      <c r="B87" s="4" t="s">
        <v>23</v>
      </c>
      <c r="C87" s="376">
        <f>'S 1000-M 500'!C87</f>
        <v>1150</v>
      </c>
      <c r="D87" s="360">
        <f>C87*D74</f>
        <v>172.5</v>
      </c>
      <c r="E87" s="350">
        <f>C87-D87</f>
        <v>977.5</v>
      </c>
      <c r="F87" s="377">
        <f>C87*F74</f>
        <v>402.5</v>
      </c>
      <c r="G87" s="352">
        <f>E87-F87</f>
        <v>575</v>
      </c>
      <c r="H87" s="360">
        <f>C87*H74</f>
        <v>115</v>
      </c>
      <c r="I87" s="360">
        <f>C87*H74</f>
        <v>115</v>
      </c>
      <c r="J87" s="350">
        <f>G87-H87-I87</f>
        <v>345</v>
      </c>
      <c r="K87" s="377">
        <f>C87*K74</f>
        <v>115</v>
      </c>
      <c r="L87" s="350">
        <f>J87-K87</f>
        <v>230</v>
      </c>
      <c r="N87" s="167" t="s">
        <v>33</v>
      </c>
      <c r="O87" s="317" t="s">
        <v>33</v>
      </c>
      <c r="P87" s="324" t="s">
        <v>33</v>
      </c>
      <c r="Q87" s="337" t="s">
        <v>33</v>
      </c>
      <c r="R87" s="317" t="s">
        <v>33</v>
      </c>
      <c r="S87" s="324" t="s">
        <v>33</v>
      </c>
      <c r="T87" s="318" t="s">
        <v>33</v>
      </c>
      <c r="U87" s="319" t="s">
        <v>33</v>
      </c>
      <c r="V87" s="320" t="s">
        <v>33</v>
      </c>
      <c r="W87" s="324" t="s">
        <v>33</v>
      </c>
      <c r="X87" s="318" t="s">
        <v>33</v>
      </c>
      <c r="Y87" s="317" t="s">
        <v>33</v>
      </c>
      <c r="Z87" s="322" t="s">
        <v>33</v>
      </c>
    </row>
    <row r="88" spans="1:31" s="2" customFormat="1" x14ac:dyDescent="0.25">
      <c r="A88" s="4">
        <v>10</v>
      </c>
      <c r="B88" s="4" t="s">
        <v>47</v>
      </c>
      <c r="C88" s="376">
        <f>'S 1000-M 500'!C88</f>
        <v>100</v>
      </c>
      <c r="D88" s="360">
        <f>C88*D74</f>
        <v>15</v>
      </c>
      <c r="E88" s="378">
        <f>C88-D88</f>
        <v>85</v>
      </c>
      <c r="F88" s="377">
        <f>C88*F74</f>
        <v>35</v>
      </c>
      <c r="G88" s="379">
        <f>E88-F88</f>
        <v>50</v>
      </c>
      <c r="H88" s="360">
        <f>C88*H74</f>
        <v>10</v>
      </c>
      <c r="I88" s="360">
        <f>C88*H74</f>
        <v>10</v>
      </c>
      <c r="J88" s="378">
        <f>G88-H88-I88</f>
        <v>30</v>
      </c>
      <c r="K88" s="377">
        <f>C88*K74</f>
        <v>10</v>
      </c>
      <c r="L88" s="378">
        <f>J88-K88</f>
        <v>20</v>
      </c>
      <c r="N88" s="131">
        <f>0.1*N52</f>
        <v>70</v>
      </c>
      <c r="O88" s="317">
        <f>D88*N88</f>
        <v>1050</v>
      </c>
      <c r="P88" s="317">
        <f>C88*N88</f>
        <v>7000</v>
      </c>
      <c r="Q88" s="318">
        <f>0.1*Q52</f>
        <v>70</v>
      </c>
      <c r="R88" s="317">
        <f>F88*N88</f>
        <v>2450</v>
      </c>
      <c r="S88" s="317">
        <f>E88*Q88</f>
        <v>5950</v>
      </c>
      <c r="T88" s="318">
        <f>0.1*T52</f>
        <v>70</v>
      </c>
      <c r="U88" s="326">
        <f>H88*T88</f>
        <v>700</v>
      </c>
      <c r="V88" s="327">
        <f>I88*T88</f>
        <v>700</v>
      </c>
      <c r="W88" s="321">
        <f>G88*T88</f>
        <v>3500</v>
      </c>
      <c r="X88" s="318">
        <f>0.1*X52</f>
        <v>70</v>
      </c>
      <c r="Y88" s="335">
        <f>K88*X88</f>
        <v>700</v>
      </c>
      <c r="Z88" s="336">
        <f>X88*J88</f>
        <v>2100</v>
      </c>
      <c r="AA88" s="141" t="s">
        <v>97</v>
      </c>
    </row>
    <row r="89" spans="1:31" s="2" customFormat="1" x14ac:dyDescent="0.25">
      <c r="A89" s="4">
        <v>11</v>
      </c>
      <c r="B89" s="4" t="s">
        <v>35</v>
      </c>
      <c r="C89" s="376">
        <f>'S 1000-M 500'!C89</f>
        <v>300</v>
      </c>
      <c r="D89" s="358" t="s">
        <v>33</v>
      </c>
      <c r="E89" s="378" t="s">
        <v>33</v>
      </c>
      <c r="F89" s="377">
        <v>300</v>
      </c>
      <c r="G89" s="379">
        <v>0</v>
      </c>
      <c r="H89" s="360" t="s">
        <v>33</v>
      </c>
      <c r="I89" s="380" t="s">
        <v>33</v>
      </c>
      <c r="J89" s="378" t="s">
        <v>33</v>
      </c>
      <c r="K89" s="377" t="s">
        <v>33</v>
      </c>
      <c r="L89" s="378" t="s">
        <v>33</v>
      </c>
      <c r="N89" s="167" t="s">
        <v>33</v>
      </c>
      <c r="O89" s="317" t="s">
        <v>33</v>
      </c>
      <c r="P89" s="324" t="s">
        <v>33</v>
      </c>
      <c r="Q89" s="318">
        <f>0.1*Q52</f>
        <v>70</v>
      </c>
      <c r="R89" s="317">
        <f>F89*Q89</f>
        <v>21000</v>
      </c>
      <c r="S89" s="324">
        <f>C89*Q89</f>
        <v>21000</v>
      </c>
      <c r="T89" s="318" t="s">
        <v>33</v>
      </c>
      <c r="U89" s="319" t="s">
        <v>33</v>
      </c>
      <c r="V89" s="320" t="s">
        <v>33</v>
      </c>
      <c r="W89" s="324" t="s">
        <v>33</v>
      </c>
      <c r="X89" s="318" t="s">
        <v>33</v>
      </c>
      <c r="Y89" s="317" t="s">
        <v>33</v>
      </c>
      <c r="Z89" s="322" t="s">
        <v>33</v>
      </c>
      <c r="AA89" s="141" t="s">
        <v>97</v>
      </c>
    </row>
    <row r="90" spans="1:31" s="2" customFormat="1" x14ac:dyDescent="0.25">
      <c r="A90" s="4">
        <v>12</v>
      </c>
      <c r="B90" s="96" t="s">
        <v>52</v>
      </c>
      <c r="C90" s="376">
        <v>600</v>
      </c>
      <c r="D90" s="358" t="s">
        <v>33</v>
      </c>
      <c r="E90" s="378" t="s">
        <v>33</v>
      </c>
      <c r="F90" s="377" t="s">
        <v>33</v>
      </c>
      <c r="G90" s="379" t="s">
        <v>33</v>
      </c>
      <c r="H90" s="360">
        <v>600</v>
      </c>
      <c r="I90" s="381"/>
      <c r="J90" s="378">
        <v>0</v>
      </c>
      <c r="K90" s="382" t="s">
        <v>33</v>
      </c>
      <c r="L90" s="383" t="s">
        <v>33</v>
      </c>
      <c r="N90" s="167" t="s">
        <v>33</v>
      </c>
      <c r="O90" s="317" t="s">
        <v>33</v>
      </c>
      <c r="P90" s="324" t="s">
        <v>33</v>
      </c>
      <c r="Q90" s="337" t="s">
        <v>33</v>
      </c>
      <c r="R90" s="317" t="s">
        <v>33</v>
      </c>
      <c r="S90" s="324" t="s">
        <v>33</v>
      </c>
      <c r="T90" s="318">
        <f>0.1*T52</f>
        <v>70</v>
      </c>
      <c r="U90" s="319">
        <f>H90*T90</f>
        <v>42000</v>
      </c>
      <c r="V90" s="320" t="s">
        <v>33</v>
      </c>
      <c r="W90" s="324">
        <f>C90*T90</f>
        <v>42000</v>
      </c>
      <c r="X90" s="318" t="s">
        <v>33</v>
      </c>
      <c r="Y90" s="317" t="s">
        <v>33</v>
      </c>
      <c r="Z90" s="322" t="s">
        <v>33</v>
      </c>
      <c r="AA90" s="141" t="s">
        <v>97</v>
      </c>
      <c r="AB90" s="1"/>
      <c r="AC90" s="1"/>
      <c r="AD90" s="1"/>
      <c r="AE90" s="1"/>
    </row>
    <row r="91" spans="1:31" x14ac:dyDescent="0.25">
      <c r="A91" s="4">
        <v>13</v>
      </c>
      <c r="B91" s="4" t="s">
        <v>40</v>
      </c>
      <c r="C91" s="357" t="s">
        <v>33</v>
      </c>
      <c r="D91" s="358" t="s">
        <v>33</v>
      </c>
      <c r="E91" s="378" t="s">
        <v>42</v>
      </c>
      <c r="F91" s="356" t="s">
        <v>33</v>
      </c>
      <c r="G91" s="379" t="s">
        <v>43</v>
      </c>
      <c r="H91" s="358" t="s">
        <v>33</v>
      </c>
      <c r="I91" s="359" t="s">
        <v>33</v>
      </c>
      <c r="J91" s="378" t="s">
        <v>33</v>
      </c>
      <c r="K91" s="356" t="s">
        <v>33</v>
      </c>
      <c r="L91" s="378" t="s">
        <v>33</v>
      </c>
      <c r="N91" s="167" t="s">
        <v>33</v>
      </c>
      <c r="O91" s="123" t="s">
        <v>33</v>
      </c>
      <c r="P91" s="166" t="s">
        <v>33</v>
      </c>
      <c r="Q91" s="167" t="s">
        <v>33</v>
      </c>
      <c r="R91" s="123" t="s">
        <v>33</v>
      </c>
      <c r="S91" s="166" t="s">
        <v>33</v>
      </c>
      <c r="T91" s="131" t="s">
        <v>33</v>
      </c>
      <c r="U91" s="216" t="s">
        <v>33</v>
      </c>
      <c r="V91" s="239" t="s">
        <v>33</v>
      </c>
      <c r="W91" s="166" t="s">
        <v>33</v>
      </c>
      <c r="X91" s="131" t="s">
        <v>33</v>
      </c>
      <c r="Y91" s="123" t="s">
        <v>33</v>
      </c>
      <c r="Z91" s="132" t="s">
        <v>33</v>
      </c>
    </row>
    <row r="92" spans="1:31" ht="16.5" thickBot="1" x14ac:dyDescent="0.3">
      <c r="A92" s="4">
        <v>14</v>
      </c>
      <c r="B92" s="4" t="s">
        <v>41</v>
      </c>
      <c r="C92" s="379" t="s">
        <v>33</v>
      </c>
      <c r="D92" s="384" t="s">
        <v>33</v>
      </c>
      <c r="E92" s="385" t="s">
        <v>43</v>
      </c>
      <c r="F92" s="386" t="s">
        <v>33</v>
      </c>
      <c r="G92" s="387" t="s">
        <v>33</v>
      </c>
      <c r="H92" s="384" t="s">
        <v>33</v>
      </c>
      <c r="I92" s="388" t="s">
        <v>33</v>
      </c>
      <c r="J92" s="385" t="s">
        <v>33</v>
      </c>
      <c r="K92" s="386" t="s">
        <v>33</v>
      </c>
      <c r="L92" s="385" t="s">
        <v>33</v>
      </c>
      <c r="N92" s="137" t="s">
        <v>33</v>
      </c>
      <c r="O92" s="138" t="s">
        <v>33</v>
      </c>
      <c r="P92" s="148" t="s">
        <v>33</v>
      </c>
      <c r="Q92" s="137" t="s">
        <v>33</v>
      </c>
      <c r="R92" s="138" t="s">
        <v>33</v>
      </c>
      <c r="S92" s="148" t="s">
        <v>33</v>
      </c>
      <c r="T92" s="137" t="s">
        <v>33</v>
      </c>
      <c r="U92" s="219" t="s">
        <v>33</v>
      </c>
      <c r="V92" s="243" t="s">
        <v>33</v>
      </c>
      <c r="W92" s="238" t="s">
        <v>33</v>
      </c>
      <c r="X92" s="140" t="s">
        <v>33</v>
      </c>
      <c r="Y92" s="138" t="s">
        <v>33</v>
      </c>
      <c r="Z92" s="139" t="s">
        <v>33</v>
      </c>
    </row>
    <row r="94" spans="1:31" x14ac:dyDescent="0.25">
      <c r="O94" s="266">
        <f>SUM(O76:O92)</f>
        <v>145320</v>
      </c>
      <c r="P94" s="266">
        <f>SUM(P76:P92)</f>
        <v>181020</v>
      </c>
      <c r="Q94" s="266"/>
      <c r="R94" s="266">
        <f>SUM(R76:R92)</f>
        <v>35700</v>
      </c>
      <c r="S94" s="266">
        <f>SUM(S76:S92)</f>
        <v>56700</v>
      </c>
      <c r="T94" s="266"/>
      <c r="U94" s="266">
        <f>SUM(U76:U92)</f>
        <v>67200</v>
      </c>
      <c r="V94" s="266">
        <f>SUM(V76:V93)</f>
        <v>4200</v>
      </c>
      <c r="W94" s="266">
        <f>SUM(W76:W92)</f>
        <v>84000</v>
      </c>
      <c r="X94" s="266"/>
      <c r="Y94" s="266">
        <f>SUM(Y76:Y92)</f>
        <v>4200</v>
      </c>
      <c r="Z94" s="266">
        <f>SUM(Z76:Z92)</f>
        <v>12600</v>
      </c>
    </row>
    <row r="96" spans="1:31" x14ac:dyDescent="0.25">
      <c r="O96" s="151">
        <f>O94/P94</f>
        <v>0.80278422273781902</v>
      </c>
      <c r="R96" s="151">
        <f>R94/S94</f>
        <v>0.62962962962962965</v>
      </c>
      <c r="U96" s="151">
        <f>(U94+V94)/W94</f>
        <v>0.85</v>
      </c>
      <c r="V96" s="151"/>
      <c r="Y96" s="151">
        <f>Y94/Z94</f>
        <v>0.33333333333333331</v>
      </c>
    </row>
    <row r="99" spans="10:26" x14ac:dyDescent="0.25">
      <c r="J99" s="1" t="s">
        <v>62</v>
      </c>
      <c r="O99" s="266">
        <f>O22+O47+O70+O94</f>
        <v>2990735</v>
      </c>
      <c r="P99" s="266">
        <f>P22+P47+P70+P94</f>
        <v>7920930</v>
      </c>
      <c r="Q99" s="266"/>
      <c r="R99" s="266">
        <f>R22+R47+R70+R94</f>
        <v>2371485</v>
      </c>
      <c r="S99" s="266">
        <f>S22+S47+S70+S94</f>
        <v>4996195</v>
      </c>
      <c r="T99" s="266"/>
      <c r="U99" s="266">
        <f>U22+U47+U70+U94</f>
        <v>777910</v>
      </c>
      <c r="V99" s="266"/>
      <c r="W99" s="266">
        <f>W22+W47+W70+W94</f>
        <v>2795710.0000000005</v>
      </c>
      <c r="X99" s="266"/>
      <c r="Y99" s="266">
        <f>Y22+Y47+Y70+Y94</f>
        <v>606910</v>
      </c>
      <c r="Z99" s="266">
        <f>Z22+Z47+Z70+Z94</f>
        <v>1410890.0000000005</v>
      </c>
    </row>
    <row r="100" spans="10:26" x14ac:dyDescent="0.25">
      <c r="O100" s="266" t="s">
        <v>63</v>
      </c>
      <c r="P100" s="266"/>
      <c r="Q100" s="266"/>
      <c r="R100" s="266">
        <f>R99-R42-R89</f>
        <v>2305485</v>
      </c>
      <c r="S100" s="266">
        <f>S99-S42-S89</f>
        <v>4930195</v>
      </c>
      <c r="T100" s="266"/>
      <c r="U100" s="266">
        <f>U99-U33-U43-U80-U90</f>
        <v>606910</v>
      </c>
      <c r="V100" s="266"/>
      <c r="W100" s="266">
        <f>W99-W33-W43-W80-W90</f>
        <v>2624710.0000000005</v>
      </c>
      <c r="X100" s="266"/>
      <c r="Y100" s="266"/>
      <c r="Z100" s="266"/>
    </row>
    <row r="101" spans="10:26" x14ac:dyDescent="0.25">
      <c r="O101" s="1" t="s">
        <v>64</v>
      </c>
      <c r="U101" s="117"/>
      <c r="V101" s="117"/>
    </row>
    <row r="102" spans="10:26" x14ac:dyDescent="0.25">
      <c r="O102" s="1" t="s">
        <v>65</v>
      </c>
    </row>
    <row r="104" spans="10:26" x14ac:dyDescent="0.25">
      <c r="O104" s="151">
        <f>O99/P99</f>
        <v>0.37757371924761363</v>
      </c>
      <c r="R104" s="151">
        <f>R99/S99</f>
        <v>0.47465821490154009</v>
      </c>
      <c r="U104" s="151">
        <f>U99/W99</f>
        <v>0.27825132077361381</v>
      </c>
      <c r="V104" s="151"/>
      <c r="Y104" s="151">
        <f>Y99/Z99</f>
        <v>0.43016110398400997</v>
      </c>
    </row>
  </sheetData>
  <pageMargins left="0.23622047244094491" right="0.15748031496062992" top="0.44" bottom="0.28000000000000003" header="0.31496062992125984" footer="0.17"/>
  <pageSetup paperSize="9" scale="44" orientation="landscape" r:id="rId1"/>
  <rowBreaks count="1" manualBreakCount="1">
    <brk id="50" max="25" man="1"/>
  </rowBreaks>
  <colBreaks count="1" manualBreakCount="1">
    <brk id="28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2"/>
  <sheetViews>
    <sheetView topLeftCell="F1" zoomScale="70" zoomScaleNormal="70" workbookViewId="0">
      <selection activeCell="L26" sqref="L26"/>
    </sheetView>
  </sheetViews>
  <sheetFormatPr defaultRowHeight="15.75" x14ac:dyDescent="0.25"/>
  <cols>
    <col min="1" max="1" width="4.7109375" style="1" customWidth="1"/>
    <col min="2" max="2" width="38.140625" style="1" customWidth="1"/>
    <col min="3" max="3" width="17.140625" style="1" customWidth="1"/>
    <col min="4" max="4" width="10" style="1" customWidth="1"/>
    <col min="5" max="5" width="16.7109375" style="1" bestFit="1" customWidth="1"/>
    <col min="6" max="6" width="10.5703125" style="1" bestFit="1" customWidth="1"/>
    <col min="7" max="7" width="16.28515625" style="1" bestFit="1" customWidth="1"/>
    <col min="8" max="8" width="9.5703125" style="1" bestFit="1" customWidth="1"/>
    <col min="9" max="9" width="16.85546875" style="1" bestFit="1" customWidth="1"/>
    <col min="10" max="10" width="4.7109375" style="1" customWidth="1"/>
    <col min="11" max="11" width="10.85546875" style="1" customWidth="1"/>
    <col min="12" max="12" width="15.7109375" style="1" bestFit="1" customWidth="1"/>
    <col min="13" max="13" width="18.140625" style="1" customWidth="1"/>
    <col min="14" max="14" width="10.42578125" style="1" bestFit="1" customWidth="1"/>
    <col min="15" max="15" width="17.7109375" style="1" bestFit="1" customWidth="1"/>
    <col min="16" max="16" width="16.5703125" style="1" customWidth="1"/>
    <col min="17" max="17" width="13.28515625" style="1" customWidth="1"/>
    <col min="18" max="18" width="14.5703125" style="1" bestFit="1" customWidth="1"/>
    <col min="19" max="19" width="16.28515625" style="1" bestFit="1" customWidth="1"/>
    <col min="20" max="27" width="4.42578125" style="1" customWidth="1"/>
    <col min="28" max="28" width="4.85546875" style="1" customWidth="1"/>
    <col min="29" max="29" width="31.140625" style="1" bestFit="1" customWidth="1"/>
    <col min="30" max="30" width="15.42578125" style="1" bestFit="1" customWidth="1"/>
    <col min="31" max="31" width="9.7109375" style="1" bestFit="1" customWidth="1"/>
    <col min="32" max="32" width="16.85546875" style="1" bestFit="1" customWidth="1"/>
    <col min="33" max="33" width="9.140625" style="1"/>
    <col min="34" max="34" width="10.42578125" style="1" bestFit="1" customWidth="1"/>
    <col min="35" max="35" width="31.140625" style="1" bestFit="1" customWidth="1"/>
    <col min="36" max="36" width="14.7109375" style="1" bestFit="1" customWidth="1"/>
    <col min="37" max="37" width="9.7109375" style="1" bestFit="1" customWidth="1"/>
    <col min="38" max="38" width="16.85546875" style="1" bestFit="1" customWidth="1"/>
    <col min="39" max="16384" width="9.140625" style="1"/>
  </cols>
  <sheetData>
    <row r="1" spans="1:34" x14ac:dyDescent="0.25">
      <c r="B1" s="35" t="s">
        <v>15</v>
      </c>
    </row>
    <row r="3" spans="1:34" x14ac:dyDescent="0.25">
      <c r="A3" s="10"/>
      <c r="B3" s="33" t="s">
        <v>115</v>
      </c>
      <c r="C3" s="11"/>
      <c r="D3" s="11"/>
      <c r="E3" s="11"/>
      <c r="F3" s="11"/>
      <c r="G3" s="10"/>
      <c r="H3" s="10"/>
      <c r="I3" s="10"/>
      <c r="AD3" s="10"/>
      <c r="AE3" s="10"/>
      <c r="AF3" s="11"/>
      <c r="AG3" s="10"/>
      <c r="AH3" s="10"/>
    </row>
    <row r="4" spans="1:34" ht="16.5" thickBot="1" x14ac:dyDescent="0.3">
      <c r="A4" s="2"/>
      <c r="B4" s="2"/>
      <c r="C4" s="66"/>
      <c r="D4" s="67">
        <v>0.15</v>
      </c>
      <c r="E4" s="152" t="s">
        <v>67</v>
      </c>
      <c r="F4" s="67">
        <v>0.1</v>
      </c>
      <c r="G4" s="95" t="s">
        <v>49</v>
      </c>
      <c r="H4" s="67">
        <v>0.2</v>
      </c>
      <c r="I4" s="95" t="s">
        <v>50</v>
      </c>
      <c r="K4" s="1">
        <v>1000</v>
      </c>
      <c r="M4" s="95" t="s">
        <v>67</v>
      </c>
      <c r="N4" s="1">
        <v>1000</v>
      </c>
      <c r="P4" s="95" t="s">
        <v>56</v>
      </c>
      <c r="Q4" s="1">
        <v>1000</v>
      </c>
      <c r="S4" s="122" t="s">
        <v>57</v>
      </c>
      <c r="AC4" s="10"/>
      <c r="AD4" s="11"/>
      <c r="AG4" s="18"/>
      <c r="AH4" s="18"/>
    </row>
    <row r="5" spans="1:34" x14ac:dyDescent="0.25">
      <c r="A5" s="24"/>
      <c r="B5" s="8" t="s">
        <v>5</v>
      </c>
      <c r="C5" s="39" t="s">
        <v>27</v>
      </c>
      <c r="D5" s="42" t="s">
        <v>32</v>
      </c>
      <c r="E5" s="43" t="s">
        <v>68</v>
      </c>
      <c r="F5" s="42" t="s">
        <v>32</v>
      </c>
      <c r="G5" s="43" t="s">
        <v>30</v>
      </c>
      <c r="H5" s="42" t="s">
        <v>32</v>
      </c>
      <c r="I5" s="43" t="s">
        <v>31</v>
      </c>
      <c r="K5" s="109" t="s">
        <v>54</v>
      </c>
      <c r="L5" s="129" t="s">
        <v>32</v>
      </c>
      <c r="M5" s="110" t="s">
        <v>55</v>
      </c>
      <c r="N5" s="109" t="s">
        <v>54</v>
      </c>
      <c r="O5" s="129" t="s">
        <v>32</v>
      </c>
      <c r="P5" s="110" t="s">
        <v>55</v>
      </c>
      <c r="Q5" s="109" t="s">
        <v>54</v>
      </c>
      <c r="R5" s="129" t="s">
        <v>32</v>
      </c>
      <c r="S5" s="110" t="s">
        <v>55</v>
      </c>
    </row>
    <row r="6" spans="1:34" s="9" customFormat="1" x14ac:dyDescent="0.25">
      <c r="A6" s="68"/>
      <c r="B6" s="273" t="s">
        <v>110</v>
      </c>
      <c r="C6" s="60">
        <f>'for Dist_SPS'!D6</f>
        <v>3180</v>
      </c>
      <c r="D6" s="64">
        <f>(C27)*D4</f>
        <v>396.45</v>
      </c>
      <c r="E6" s="69">
        <f>C6-D6</f>
        <v>2783.55</v>
      </c>
      <c r="F6" s="64">
        <f>(C27-300)*F4+(C28+C30+C34)</f>
        <v>1234.3</v>
      </c>
      <c r="G6" s="69">
        <f>E6-F6</f>
        <v>1549.2500000000002</v>
      </c>
      <c r="H6" s="64">
        <f>(C27-300)*H4</f>
        <v>468.6</v>
      </c>
      <c r="I6" s="69">
        <f>G6-H6</f>
        <v>1080.6500000000001</v>
      </c>
      <c r="K6" s="121">
        <f>K4*0.4</f>
        <v>400</v>
      </c>
      <c r="L6" s="118">
        <f>D6*K6</f>
        <v>158580</v>
      </c>
      <c r="M6" s="107">
        <f>C6*K6</f>
        <v>1272000</v>
      </c>
      <c r="N6" s="121">
        <f>N4*0.4</f>
        <v>400</v>
      </c>
      <c r="O6" s="118">
        <f>F6*N6</f>
        <v>493720</v>
      </c>
      <c r="P6" s="107">
        <f>E6*N6</f>
        <v>1113420</v>
      </c>
      <c r="Q6" s="111">
        <f>Q4*0.4</f>
        <v>400</v>
      </c>
      <c r="R6" s="118">
        <f>H6*Q6</f>
        <v>187440</v>
      </c>
      <c r="S6" s="107">
        <f>Q6*I6</f>
        <v>432260.00000000006</v>
      </c>
      <c r="T6" s="141" t="s">
        <v>80</v>
      </c>
    </row>
    <row r="7" spans="1:34" x14ac:dyDescent="0.25">
      <c r="A7" s="22"/>
      <c r="B7" s="252" t="s">
        <v>135</v>
      </c>
      <c r="C7" s="82" t="str">
        <f>'for Dist_SPS'!D7</f>
        <v>Valued at 3,888</v>
      </c>
      <c r="D7" s="70"/>
      <c r="E7" s="51"/>
      <c r="F7" s="70"/>
      <c r="G7" s="51"/>
      <c r="H7" s="50"/>
      <c r="I7" s="51"/>
      <c r="K7" s="150"/>
      <c r="L7" s="119"/>
      <c r="M7" s="105"/>
      <c r="N7" s="150"/>
      <c r="O7" s="119"/>
      <c r="P7" s="105"/>
      <c r="Q7" s="112"/>
      <c r="R7" s="119"/>
      <c r="S7" s="105"/>
    </row>
    <row r="8" spans="1:34" x14ac:dyDescent="0.25">
      <c r="A8" s="22"/>
      <c r="B8" s="19" t="s">
        <v>9</v>
      </c>
      <c r="C8" s="61" t="str">
        <f>'for Dist_SPS'!D8</f>
        <v>save 702</v>
      </c>
      <c r="D8" s="70"/>
      <c r="E8" s="51"/>
      <c r="F8" s="70"/>
      <c r="G8" s="51"/>
      <c r="H8" s="50"/>
      <c r="I8" s="51"/>
      <c r="K8" s="112"/>
      <c r="L8" s="119"/>
      <c r="M8" s="105"/>
      <c r="N8" s="112"/>
      <c r="O8" s="119"/>
      <c r="P8" s="105"/>
      <c r="Q8" s="112"/>
      <c r="R8" s="119"/>
      <c r="S8" s="105"/>
    </row>
    <row r="9" spans="1:34" x14ac:dyDescent="0.25">
      <c r="A9" s="22"/>
      <c r="B9" s="19" t="s">
        <v>26</v>
      </c>
      <c r="C9" s="41"/>
      <c r="D9" s="50"/>
      <c r="E9" s="51"/>
      <c r="F9" s="50"/>
      <c r="G9" s="51"/>
      <c r="H9" s="50"/>
      <c r="I9" s="51"/>
      <c r="K9" s="112"/>
      <c r="L9" s="119"/>
      <c r="M9" s="105"/>
      <c r="N9" s="112"/>
      <c r="O9" s="119"/>
      <c r="P9" s="105"/>
      <c r="Q9" s="112"/>
      <c r="R9" s="119"/>
      <c r="S9" s="105"/>
    </row>
    <row r="10" spans="1:34" x14ac:dyDescent="0.25">
      <c r="A10" s="6"/>
      <c r="B10" s="252" t="s">
        <v>121</v>
      </c>
      <c r="C10" s="41"/>
      <c r="D10" s="50"/>
      <c r="E10" s="51"/>
      <c r="F10" s="50"/>
      <c r="G10" s="51"/>
      <c r="H10" s="50"/>
      <c r="I10" s="51"/>
      <c r="K10" s="113"/>
      <c r="L10" s="120"/>
      <c r="M10" s="108"/>
      <c r="N10" s="113"/>
      <c r="O10" s="120"/>
      <c r="P10" s="108"/>
      <c r="Q10" s="113"/>
      <c r="R10" s="120"/>
      <c r="S10" s="108"/>
    </row>
    <row r="11" spans="1:34" x14ac:dyDescent="0.25">
      <c r="A11" s="13"/>
      <c r="B11" s="274" t="s">
        <v>112</v>
      </c>
      <c r="C11" s="53">
        <f>'for Dist_SPS'!D11</f>
        <v>3019</v>
      </c>
      <c r="D11" s="64">
        <f>(C27)*D4</f>
        <v>396.45</v>
      </c>
      <c r="E11" s="69">
        <f>C11-D11</f>
        <v>2622.55</v>
      </c>
      <c r="F11" s="64">
        <f>(C27-200)*F4+(C28+C30)</f>
        <v>794.3</v>
      </c>
      <c r="G11" s="69">
        <f>E11-F11</f>
        <v>1828.2500000000002</v>
      </c>
      <c r="H11" s="64">
        <f>(C27-200)*H4</f>
        <v>488.6</v>
      </c>
      <c r="I11" s="69">
        <f>G11-H11</f>
        <v>1339.65</v>
      </c>
      <c r="K11" s="114">
        <f>K4*0.3</f>
        <v>300</v>
      </c>
      <c r="L11" s="118">
        <f>D11*K11</f>
        <v>118935</v>
      </c>
      <c r="M11" s="107">
        <f>C11*K11</f>
        <v>905700</v>
      </c>
      <c r="N11" s="114">
        <f>N4*0.3</f>
        <v>300</v>
      </c>
      <c r="O11" s="118">
        <f>F11*N11</f>
        <v>238290</v>
      </c>
      <c r="P11" s="107">
        <f>E11*N11</f>
        <v>786765</v>
      </c>
      <c r="Q11" s="114">
        <f>Q4*0.3</f>
        <v>300</v>
      </c>
      <c r="R11" s="118">
        <f>H11*Q11</f>
        <v>146580</v>
      </c>
      <c r="S11" s="107">
        <f>Q11*I11</f>
        <v>401895</v>
      </c>
      <c r="T11" s="141" t="s">
        <v>81</v>
      </c>
    </row>
    <row r="12" spans="1:34" x14ac:dyDescent="0.25">
      <c r="A12" s="22"/>
      <c r="B12" s="252" t="s">
        <v>135</v>
      </c>
      <c r="C12" s="82" t="str">
        <f>'for Dist_SPS'!D12</f>
        <v>Valued at 3,438</v>
      </c>
      <c r="D12" s="70"/>
      <c r="E12" s="51"/>
      <c r="F12" s="70"/>
      <c r="G12" s="51"/>
      <c r="H12" s="50"/>
      <c r="I12" s="51"/>
      <c r="K12" s="112"/>
      <c r="L12" s="119"/>
      <c r="M12" s="105"/>
      <c r="N12" s="112"/>
      <c r="O12" s="119"/>
      <c r="P12" s="105"/>
      <c r="Q12" s="112"/>
      <c r="R12" s="119"/>
      <c r="S12" s="105"/>
    </row>
    <row r="13" spans="1:34" x14ac:dyDescent="0.25">
      <c r="A13" s="22"/>
      <c r="B13" s="19" t="s">
        <v>9</v>
      </c>
      <c r="C13" s="61" t="str">
        <f>'for Dist_SPS'!D13</f>
        <v>save 419</v>
      </c>
      <c r="D13" s="70"/>
      <c r="E13" s="51"/>
      <c r="F13" s="70"/>
      <c r="G13" s="51"/>
      <c r="H13" s="50"/>
      <c r="I13" s="51"/>
      <c r="K13" s="112"/>
      <c r="L13" s="119"/>
      <c r="M13" s="105"/>
      <c r="N13" s="112"/>
      <c r="O13" s="119"/>
      <c r="P13" s="105"/>
      <c r="Q13" s="112"/>
      <c r="R13" s="119"/>
      <c r="S13" s="105"/>
    </row>
    <row r="14" spans="1:34" x14ac:dyDescent="0.25">
      <c r="A14" s="6"/>
      <c r="B14" s="20" t="s">
        <v>26</v>
      </c>
      <c r="C14" s="62"/>
      <c r="D14" s="65"/>
      <c r="E14" s="71"/>
      <c r="F14" s="65"/>
      <c r="G14" s="71"/>
      <c r="H14" s="65"/>
      <c r="I14" s="71"/>
      <c r="K14" s="113"/>
      <c r="L14" s="120"/>
      <c r="M14" s="108"/>
      <c r="N14" s="113"/>
      <c r="O14" s="120"/>
      <c r="P14" s="108"/>
      <c r="Q14" s="113"/>
      <c r="R14" s="120"/>
      <c r="S14" s="108"/>
    </row>
    <row r="15" spans="1:34" x14ac:dyDescent="0.25">
      <c r="A15" s="13"/>
      <c r="B15" s="274" t="s">
        <v>113</v>
      </c>
      <c r="C15" s="53">
        <f>'for Dist_SPS'!D15</f>
        <v>2819</v>
      </c>
      <c r="D15" s="64">
        <f>(C27)*D4</f>
        <v>396.45</v>
      </c>
      <c r="E15" s="69">
        <f>C15-D15</f>
        <v>2422.5500000000002</v>
      </c>
      <c r="F15" s="64">
        <f>(C27-150)*F4+C30</f>
        <v>599.29999999999995</v>
      </c>
      <c r="G15" s="69">
        <f>E15-F15</f>
        <v>1823.2500000000002</v>
      </c>
      <c r="H15" s="64">
        <f>(C27-150)*H4</f>
        <v>498.6</v>
      </c>
      <c r="I15" s="69">
        <f>G15-H15</f>
        <v>1324.65</v>
      </c>
      <c r="K15" s="112">
        <f>K4*0.2</f>
        <v>200</v>
      </c>
      <c r="L15" s="118">
        <f>D15*K15</f>
        <v>79290</v>
      </c>
      <c r="M15" s="107">
        <f>C15*K15</f>
        <v>563800</v>
      </c>
      <c r="N15" s="112">
        <f>N4*0.2</f>
        <v>200</v>
      </c>
      <c r="O15" s="118">
        <f>F15*N15</f>
        <v>119859.99999999999</v>
      </c>
      <c r="P15" s="107">
        <f>E15*N15</f>
        <v>484510.00000000006</v>
      </c>
      <c r="Q15" s="112">
        <f>Q4*0.2</f>
        <v>200</v>
      </c>
      <c r="R15" s="118">
        <f>H15*Q15</f>
        <v>99720</v>
      </c>
      <c r="S15" s="103">
        <f>Q15*I15</f>
        <v>264930</v>
      </c>
      <c r="T15" s="141" t="s">
        <v>82</v>
      </c>
    </row>
    <row r="16" spans="1:34" x14ac:dyDescent="0.25">
      <c r="A16" s="22"/>
      <c r="B16" s="252" t="s">
        <v>135</v>
      </c>
      <c r="C16" s="82" t="str">
        <f>'for Dist_SPS'!D16</f>
        <v>Valued at 3,238</v>
      </c>
      <c r="D16" s="70"/>
      <c r="E16" s="51"/>
      <c r="F16" s="70"/>
      <c r="G16" s="51"/>
      <c r="H16" s="50"/>
      <c r="I16" s="51"/>
      <c r="K16" s="112"/>
      <c r="L16" s="119"/>
      <c r="M16" s="105"/>
      <c r="N16" s="112"/>
      <c r="O16" s="119"/>
      <c r="P16" s="105"/>
      <c r="Q16" s="112"/>
      <c r="R16" s="119"/>
      <c r="S16" s="105"/>
    </row>
    <row r="17" spans="1:20" x14ac:dyDescent="0.25">
      <c r="A17" s="6"/>
      <c r="B17" s="20" t="s">
        <v>26</v>
      </c>
      <c r="C17" s="61" t="str">
        <f>'for Dist_SPS'!D17</f>
        <v>save 419</v>
      </c>
      <c r="D17" s="70"/>
      <c r="E17" s="71"/>
      <c r="F17" s="70"/>
      <c r="G17" s="71"/>
      <c r="H17" s="65"/>
      <c r="I17" s="71"/>
      <c r="K17" s="112"/>
      <c r="L17" s="119"/>
      <c r="M17" s="105"/>
      <c r="N17" s="112"/>
      <c r="O17" s="119"/>
      <c r="P17" s="105"/>
      <c r="Q17" s="112"/>
      <c r="R17" s="119"/>
      <c r="S17" s="105"/>
    </row>
    <row r="18" spans="1:20" s="187" customFormat="1" x14ac:dyDescent="0.25">
      <c r="A18" s="182"/>
      <c r="B18" s="290" t="s">
        <v>127</v>
      </c>
      <c r="C18" s="183">
        <f>'for Dist_SPS'!D18</f>
        <v>2643</v>
      </c>
      <c r="D18" s="184">
        <f>C27*D4</f>
        <v>396.45</v>
      </c>
      <c r="E18" s="185">
        <f>C18-D18</f>
        <v>2246.5500000000002</v>
      </c>
      <c r="F18" s="184">
        <f>F4*C18</f>
        <v>264.3</v>
      </c>
      <c r="G18" s="185">
        <f>E18-F18</f>
        <v>1982.2500000000002</v>
      </c>
      <c r="H18" s="186">
        <f>C18*H4</f>
        <v>528.6</v>
      </c>
      <c r="I18" s="185">
        <f>G18-H18</f>
        <v>1453.65</v>
      </c>
      <c r="K18" s="188">
        <f>K4*0.1</f>
        <v>100</v>
      </c>
      <c r="L18" s="189">
        <f>D18*K18</f>
        <v>39645</v>
      </c>
      <c r="M18" s="190">
        <f>C18*K18</f>
        <v>264300</v>
      </c>
      <c r="N18" s="188">
        <f>N4*0.1</f>
        <v>100</v>
      </c>
      <c r="O18" s="189">
        <f>F18*N18</f>
        <v>26430</v>
      </c>
      <c r="P18" s="190">
        <f>E18*N18</f>
        <v>224655.00000000003</v>
      </c>
      <c r="Q18" s="188">
        <f>Q4*0.1</f>
        <v>100</v>
      </c>
      <c r="R18" s="189">
        <f>H18*Q18</f>
        <v>52860</v>
      </c>
      <c r="S18" s="190">
        <f>Q18*I18</f>
        <v>145365</v>
      </c>
      <c r="T18" s="191" t="s">
        <v>83</v>
      </c>
    </row>
    <row r="19" spans="1:20" s="187" customFormat="1" ht="16.5" thickBot="1" x14ac:dyDescent="0.3">
      <c r="A19" s="192"/>
      <c r="B19" s="291" t="s">
        <v>135</v>
      </c>
      <c r="C19" s="193"/>
      <c r="D19" s="194"/>
      <c r="E19" s="195"/>
      <c r="F19" s="194"/>
      <c r="G19" s="195"/>
      <c r="H19" s="196"/>
      <c r="I19" s="195"/>
      <c r="K19" s="197"/>
      <c r="L19" s="198"/>
      <c r="M19" s="199"/>
      <c r="N19" s="197"/>
      <c r="O19" s="198"/>
      <c r="P19" s="199"/>
      <c r="Q19" s="200"/>
      <c r="R19" s="198"/>
      <c r="S19" s="199"/>
    </row>
    <row r="20" spans="1:20" x14ac:dyDescent="0.25">
      <c r="A20" s="10"/>
      <c r="B20" s="19"/>
      <c r="C20" s="11"/>
      <c r="D20" s="11"/>
      <c r="E20" s="11"/>
      <c r="F20" s="11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</row>
    <row r="21" spans="1:20" x14ac:dyDescent="0.25">
      <c r="K21" s="117"/>
      <c r="L21" s="117">
        <f>SUM(L6:L20)</f>
        <v>396450</v>
      </c>
      <c r="M21" s="117">
        <f>SUM(M6:M20)</f>
        <v>3005800</v>
      </c>
      <c r="N21" s="117"/>
      <c r="O21" s="117">
        <f>SUM(O6:O20)</f>
        <v>878300</v>
      </c>
      <c r="P21" s="117">
        <f>SUM(P6:P20)</f>
        <v>2609350</v>
      </c>
      <c r="Q21" s="117"/>
      <c r="R21" s="117">
        <f>SUM(R6:R20)</f>
        <v>486600</v>
      </c>
      <c r="S21" s="117">
        <f>SUM(S6:S20)</f>
        <v>1244450</v>
      </c>
    </row>
    <row r="23" spans="1:20" x14ac:dyDescent="0.25">
      <c r="O23" s="151">
        <f>O21/P21</f>
        <v>0.33659723685975435</v>
      </c>
      <c r="R23" s="151">
        <f>R21/S21</f>
        <v>0.39101611153521637</v>
      </c>
    </row>
    <row r="24" spans="1:20" x14ac:dyDescent="0.25">
      <c r="B24" s="35" t="s">
        <v>36</v>
      </c>
    </row>
    <row r="25" spans="1:20" ht="16.5" thickBot="1" x14ac:dyDescent="0.3">
      <c r="A25" s="2"/>
      <c r="B25" s="2"/>
      <c r="C25" s="2"/>
      <c r="D25" s="67">
        <v>0</v>
      </c>
      <c r="E25" s="95"/>
      <c r="F25" s="67">
        <v>0.1</v>
      </c>
      <c r="G25" s="289" t="s">
        <v>133</v>
      </c>
      <c r="H25" s="67">
        <v>0.2</v>
      </c>
      <c r="I25" s="95" t="s">
        <v>50</v>
      </c>
      <c r="M25" s="95" t="s">
        <v>67</v>
      </c>
      <c r="P25" s="95" t="s">
        <v>56</v>
      </c>
      <c r="S25" s="122" t="s">
        <v>57</v>
      </c>
    </row>
    <row r="26" spans="1:20" s="2" customFormat="1" ht="15" x14ac:dyDescent="0.25">
      <c r="A26" s="8"/>
      <c r="B26" s="8" t="s">
        <v>5</v>
      </c>
      <c r="C26" s="39" t="s">
        <v>27</v>
      </c>
      <c r="D26" s="42" t="s">
        <v>32</v>
      </c>
      <c r="E26" s="43" t="s">
        <v>68</v>
      </c>
      <c r="F26" s="42" t="s">
        <v>32</v>
      </c>
      <c r="G26" s="43" t="s">
        <v>30</v>
      </c>
      <c r="H26" s="42" t="s">
        <v>32</v>
      </c>
      <c r="I26" s="43" t="s">
        <v>31</v>
      </c>
      <c r="K26" s="109" t="s">
        <v>58</v>
      </c>
      <c r="L26" s="129" t="s">
        <v>32</v>
      </c>
      <c r="M26" s="110" t="s">
        <v>55</v>
      </c>
      <c r="N26" s="109" t="s">
        <v>58</v>
      </c>
      <c r="O26" s="129" t="s">
        <v>32</v>
      </c>
      <c r="P26" s="110" t="s">
        <v>55</v>
      </c>
      <c r="Q26" s="109" t="s">
        <v>66</v>
      </c>
      <c r="R26" s="129" t="s">
        <v>32</v>
      </c>
      <c r="S26" s="110" t="s">
        <v>55</v>
      </c>
    </row>
    <row r="27" spans="1:20" s="2" customFormat="1" x14ac:dyDescent="0.25">
      <c r="A27" s="6">
        <v>1</v>
      </c>
      <c r="B27" s="274" t="s">
        <v>128</v>
      </c>
      <c r="C27" s="53">
        <f>'for Dist_SPS'!D18</f>
        <v>2643</v>
      </c>
      <c r="D27" s="57">
        <f>A27*D25</f>
        <v>0</v>
      </c>
      <c r="E27" s="45">
        <v>0</v>
      </c>
      <c r="F27" s="57">
        <f>C27*F25</f>
        <v>264.3</v>
      </c>
      <c r="G27" s="45">
        <f>C27-F27</f>
        <v>2378.6999999999998</v>
      </c>
      <c r="H27" s="44">
        <f>C27*H25</f>
        <v>528.6</v>
      </c>
      <c r="I27" s="45">
        <f>G27-H27</f>
        <v>1850.1</v>
      </c>
      <c r="K27" s="121">
        <v>0</v>
      </c>
      <c r="L27" s="118">
        <f>C27*K27</f>
        <v>0</v>
      </c>
      <c r="M27" s="107">
        <v>0</v>
      </c>
      <c r="N27" s="121">
        <v>0</v>
      </c>
      <c r="O27" s="118">
        <f>F27*N27</f>
        <v>0</v>
      </c>
      <c r="P27" s="107">
        <f>C27*N27</f>
        <v>0</v>
      </c>
      <c r="Q27" s="111">
        <v>0</v>
      </c>
      <c r="R27" s="118">
        <v>0</v>
      </c>
      <c r="S27" s="107">
        <f>Q27*I27</f>
        <v>0</v>
      </c>
    </row>
    <row r="28" spans="1:20" s="2" customFormat="1" x14ac:dyDescent="0.25">
      <c r="A28" s="6">
        <v>2</v>
      </c>
      <c r="B28" s="37" t="s">
        <v>0</v>
      </c>
      <c r="C28" s="54">
        <f>'S 1000-M 500'!C30</f>
        <v>200</v>
      </c>
      <c r="D28" s="153" t="s">
        <v>33</v>
      </c>
      <c r="E28" s="93" t="s">
        <v>33</v>
      </c>
      <c r="F28" s="58">
        <v>200</v>
      </c>
      <c r="G28" s="47">
        <v>0</v>
      </c>
      <c r="H28" s="46" t="s">
        <v>33</v>
      </c>
      <c r="I28" s="47" t="s">
        <v>33</v>
      </c>
      <c r="K28" s="131" t="s">
        <v>33</v>
      </c>
      <c r="L28" s="123" t="s">
        <v>33</v>
      </c>
      <c r="M28" s="123" t="s">
        <v>33</v>
      </c>
      <c r="N28" s="131">
        <f>(N15+N18)*0.5</f>
        <v>150</v>
      </c>
      <c r="O28" s="123">
        <f>F28*N28</f>
        <v>30000</v>
      </c>
      <c r="P28" s="123">
        <f>C28*N28</f>
        <v>30000</v>
      </c>
      <c r="Q28" s="131" t="s">
        <v>33</v>
      </c>
      <c r="R28" s="123" t="s">
        <v>33</v>
      </c>
      <c r="S28" s="132" t="s">
        <v>33</v>
      </c>
      <c r="T28" s="141" t="s">
        <v>59</v>
      </c>
    </row>
    <row r="29" spans="1:20" s="2" customFormat="1" x14ac:dyDescent="0.25">
      <c r="A29" s="4">
        <v>3</v>
      </c>
      <c r="B29" s="37" t="s">
        <v>16</v>
      </c>
      <c r="C29" s="40">
        <f>'S 1000-M 500'!C31</f>
        <v>500</v>
      </c>
      <c r="D29" s="154" t="s">
        <v>33</v>
      </c>
      <c r="E29" s="155" t="s">
        <v>33</v>
      </c>
      <c r="F29" s="57">
        <f>C29*F25</f>
        <v>50</v>
      </c>
      <c r="G29" s="45">
        <f>C29-F29</f>
        <v>450</v>
      </c>
      <c r="H29" s="44">
        <f>C29*H25</f>
        <v>100</v>
      </c>
      <c r="I29" s="45">
        <f>G29-H29</f>
        <v>350</v>
      </c>
      <c r="K29" s="131" t="s">
        <v>33</v>
      </c>
      <c r="L29" s="123" t="s">
        <v>33</v>
      </c>
      <c r="M29" s="123" t="s">
        <v>33</v>
      </c>
      <c r="N29" s="131">
        <f>0.1*N4</f>
        <v>100</v>
      </c>
      <c r="O29" s="123">
        <f>F29*N29</f>
        <v>5000</v>
      </c>
      <c r="P29" s="123">
        <f>C29*N29</f>
        <v>50000</v>
      </c>
      <c r="Q29" s="131">
        <f>0.1*Q4</f>
        <v>100</v>
      </c>
      <c r="R29" s="123">
        <f>H29*Q29</f>
        <v>10000</v>
      </c>
      <c r="S29" s="142">
        <f>I29*Q29</f>
        <v>35000</v>
      </c>
      <c r="T29" s="141" t="s">
        <v>83</v>
      </c>
    </row>
    <row r="30" spans="1:20" s="2" customFormat="1" x14ac:dyDescent="0.25">
      <c r="A30" s="23">
        <v>4</v>
      </c>
      <c r="B30" s="4" t="s">
        <v>45</v>
      </c>
      <c r="C30" s="55">
        <f>'S 1000-M 500'!C32</f>
        <v>350</v>
      </c>
      <c r="D30" s="153" t="s">
        <v>33</v>
      </c>
      <c r="E30" s="93" t="s">
        <v>33</v>
      </c>
      <c r="F30" s="52">
        <v>350</v>
      </c>
      <c r="G30" s="47">
        <v>0</v>
      </c>
      <c r="H30" s="46" t="s">
        <v>33</v>
      </c>
      <c r="I30" s="47" t="s">
        <v>33</v>
      </c>
      <c r="K30" s="131" t="s">
        <v>33</v>
      </c>
      <c r="L30" s="123" t="s">
        <v>33</v>
      </c>
      <c r="M30" s="123" t="s">
        <v>33</v>
      </c>
      <c r="N30" s="131">
        <f>0.3*N18</f>
        <v>30</v>
      </c>
      <c r="O30" s="123">
        <f>N30*F30</f>
        <v>10500</v>
      </c>
      <c r="P30" s="142">
        <f>C30*N30</f>
        <v>10500</v>
      </c>
      <c r="Q30" s="131" t="s">
        <v>33</v>
      </c>
      <c r="R30" s="123" t="s">
        <v>33</v>
      </c>
      <c r="S30" s="142" t="s">
        <v>33</v>
      </c>
      <c r="T30" s="141" t="s">
        <v>61</v>
      </c>
    </row>
    <row r="31" spans="1:20" s="2" customFormat="1" x14ac:dyDescent="0.25">
      <c r="A31" s="23">
        <v>5</v>
      </c>
      <c r="B31" s="92" t="s">
        <v>48</v>
      </c>
      <c r="C31" s="55">
        <f>'S 1000-M 500'!C33</f>
        <v>150</v>
      </c>
      <c r="D31" s="154" t="s">
        <v>33</v>
      </c>
      <c r="E31" s="155" t="s">
        <v>33</v>
      </c>
      <c r="F31" s="94">
        <v>150</v>
      </c>
      <c r="G31" s="93">
        <v>0</v>
      </c>
      <c r="H31" s="94" t="s">
        <v>33</v>
      </c>
      <c r="I31" s="93" t="s">
        <v>33</v>
      </c>
      <c r="K31" s="131" t="s">
        <v>33</v>
      </c>
      <c r="L31" s="123" t="s">
        <v>33</v>
      </c>
      <c r="M31" s="123" t="s">
        <v>33</v>
      </c>
      <c r="N31" s="131">
        <f>N4*0.3</f>
        <v>300</v>
      </c>
      <c r="O31" s="123">
        <f>C31*N31</f>
        <v>45000</v>
      </c>
      <c r="P31" s="142">
        <f>F31*N31</f>
        <v>45000</v>
      </c>
      <c r="Q31" s="131" t="s">
        <v>33</v>
      </c>
      <c r="R31" s="123" t="s">
        <v>33</v>
      </c>
      <c r="S31" s="142" t="s">
        <v>33</v>
      </c>
      <c r="T31" s="141" t="s">
        <v>82</v>
      </c>
    </row>
    <row r="32" spans="1:20" s="2" customFormat="1" x14ac:dyDescent="0.25">
      <c r="A32" s="13">
        <v>6</v>
      </c>
      <c r="B32" s="4" t="s">
        <v>7</v>
      </c>
      <c r="C32" s="55">
        <f>'S 1000-M 500'!C34</f>
        <v>180</v>
      </c>
      <c r="D32" s="153" t="s">
        <v>33</v>
      </c>
      <c r="E32" s="93" t="s">
        <v>33</v>
      </c>
      <c r="F32" s="52">
        <v>180</v>
      </c>
      <c r="G32" s="47">
        <v>0</v>
      </c>
      <c r="H32" s="46" t="s">
        <v>33</v>
      </c>
      <c r="I32" s="47" t="s">
        <v>33</v>
      </c>
      <c r="K32" s="131" t="s">
        <v>33</v>
      </c>
      <c r="L32" s="123" t="s">
        <v>33</v>
      </c>
      <c r="M32" s="123" t="s">
        <v>33</v>
      </c>
      <c r="N32" s="134">
        <f>(N11+N15+N18)*0.2</f>
        <v>120</v>
      </c>
      <c r="O32" s="124">
        <f>F32*N32</f>
        <v>21600</v>
      </c>
      <c r="P32" s="147">
        <f>C32*N32</f>
        <v>21600</v>
      </c>
      <c r="Q32" s="131" t="s">
        <v>33</v>
      </c>
      <c r="R32" s="123" t="s">
        <v>33</v>
      </c>
      <c r="S32" s="142" t="s">
        <v>33</v>
      </c>
      <c r="T32" s="141" t="s">
        <v>60</v>
      </c>
    </row>
    <row r="33" spans="1:21" s="2" customFormat="1" x14ac:dyDescent="0.25">
      <c r="A33" s="23">
        <v>7</v>
      </c>
      <c r="B33" s="4" t="s">
        <v>17</v>
      </c>
      <c r="C33" s="56">
        <f>'S 1000-M 500'!C35</f>
        <v>50</v>
      </c>
      <c r="D33" s="154" t="s">
        <v>33</v>
      </c>
      <c r="E33" s="155" t="s">
        <v>33</v>
      </c>
      <c r="F33" s="46">
        <v>50</v>
      </c>
      <c r="G33" s="47">
        <v>0</v>
      </c>
      <c r="H33" s="46" t="s">
        <v>33</v>
      </c>
      <c r="I33" s="47">
        <v>0</v>
      </c>
      <c r="K33" s="131" t="s">
        <v>33</v>
      </c>
      <c r="L33" s="123" t="s">
        <v>33</v>
      </c>
      <c r="M33" s="123" t="s">
        <v>33</v>
      </c>
      <c r="N33" s="134">
        <f>(N11+N15+N18)*0.2</f>
        <v>120</v>
      </c>
      <c r="O33" s="125">
        <f>F33*N33</f>
        <v>6000</v>
      </c>
      <c r="P33" s="149">
        <f>C33*N33</f>
        <v>6000</v>
      </c>
      <c r="Q33" s="131" t="s">
        <v>33</v>
      </c>
      <c r="R33" s="123" t="s">
        <v>33</v>
      </c>
      <c r="S33" s="142" t="s">
        <v>33</v>
      </c>
      <c r="T33" s="141" t="s">
        <v>60</v>
      </c>
    </row>
    <row r="34" spans="1:21" s="2" customFormat="1" x14ac:dyDescent="0.25">
      <c r="A34" s="23">
        <v>8</v>
      </c>
      <c r="B34" s="287" t="s">
        <v>116</v>
      </c>
      <c r="C34" s="53">
        <f>'S 1000-M 500'!C36</f>
        <v>450</v>
      </c>
      <c r="D34" s="154" t="s">
        <v>33</v>
      </c>
      <c r="E34" s="157" t="s">
        <v>33</v>
      </c>
      <c r="F34" s="57">
        <v>450</v>
      </c>
      <c r="G34" s="59">
        <v>0</v>
      </c>
      <c r="H34" s="48" t="s">
        <v>33</v>
      </c>
      <c r="I34" s="49" t="s">
        <v>33</v>
      </c>
      <c r="K34" s="134" t="s">
        <v>33</v>
      </c>
      <c r="L34" s="125" t="s">
        <v>33</v>
      </c>
      <c r="M34" s="143" t="s">
        <v>33</v>
      </c>
      <c r="N34" s="134">
        <f>(N11+N15+N18)*0.2</f>
        <v>120</v>
      </c>
      <c r="O34" s="127">
        <f>F34*N34</f>
        <v>54000</v>
      </c>
      <c r="P34" s="143">
        <f>C34*N34</f>
        <v>54000</v>
      </c>
      <c r="Q34" s="134" t="s">
        <v>33</v>
      </c>
      <c r="R34" s="127" t="s">
        <v>33</v>
      </c>
      <c r="S34" s="135" t="s">
        <v>33</v>
      </c>
      <c r="T34" s="141" t="s">
        <v>60</v>
      </c>
    </row>
    <row r="35" spans="1:21" s="2" customFormat="1" x14ac:dyDescent="0.25">
      <c r="A35" s="21"/>
      <c r="B35" s="22" t="s">
        <v>22</v>
      </c>
      <c r="C35" s="41"/>
      <c r="D35" s="50"/>
      <c r="E35" s="51"/>
      <c r="F35" s="50"/>
      <c r="G35" s="51"/>
      <c r="H35" s="50"/>
      <c r="I35" s="51"/>
      <c r="K35" s="104"/>
      <c r="L35" s="119"/>
      <c r="M35" s="144"/>
      <c r="N35" s="104"/>
      <c r="O35" s="11"/>
      <c r="P35" s="144"/>
      <c r="Q35" s="104"/>
      <c r="R35" s="11"/>
      <c r="S35" s="105"/>
    </row>
    <row r="36" spans="1:21" s="2" customFormat="1" x14ac:dyDescent="0.25">
      <c r="A36" s="22"/>
      <c r="B36" s="22" t="s">
        <v>18</v>
      </c>
      <c r="C36" s="41"/>
      <c r="D36" s="50"/>
      <c r="E36" s="51"/>
      <c r="F36" s="50"/>
      <c r="G36" s="51"/>
      <c r="H36" s="50"/>
      <c r="I36" s="51"/>
      <c r="K36" s="104"/>
      <c r="L36" s="168"/>
      <c r="M36" s="145"/>
      <c r="N36" s="104"/>
      <c r="O36" s="126"/>
      <c r="P36" s="145"/>
      <c r="Q36" s="104"/>
      <c r="R36" s="126"/>
      <c r="S36" s="103"/>
    </row>
    <row r="37" spans="1:21" s="2" customFormat="1" x14ac:dyDescent="0.25">
      <c r="A37" s="22"/>
      <c r="B37" s="22" t="s">
        <v>21</v>
      </c>
      <c r="C37" s="41"/>
      <c r="D37" s="50"/>
      <c r="E37" s="51"/>
      <c r="F37" s="50"/>
      <c r="G37" s="51"/>
      <c r="H37" s="50"/>
      <c r="I37" s="51"/>
      <c r="K37" s="136"/>
      <c r="L37" s="120"/>
      <c r="M37" s="146"/>
      <c r="N37" s="136"/>
      <c r="O37" s="128"/>
      <c r="P37" s="146"/>
      <c r="Q37" s="136"/>
      <c r="R37" s="128"/>
      <c r="S37" s="108"/>
    </row>
    <row r="38" spans="1:21" s="2" customFormat="1" x14ac:dyDescent="0.25">
      <c r="A38" s="4">
        <v>9</v>
      </c>
      <c r="B38" s="4" t="s">
        <v>23</v>
      </c>
      <c r="C38" s="55">
        <f>'S 1000-M 500'!C40</f>
        <v>1050</v>
      </c>
      <c r="D38" s="156" t="s">
        <v>33</v>
      </c>
      <c r="E38" s="155" t="s">
        <v>33</v>
      </c>
      <c r="F38" s="52">
        <f>C38*F25</f>
        <v>105</v>
      </c>
      <c r="G38" s="45">
        <f>C38-F38</f>
        <v>945</v>
      </c>
      <c r="H38" s="52">
        <f>C38*H25</f>
        <v>210</v>
      </c>
      <c r="I38" s="45">
        <f>G38-H38</f>
        <v>735</v>
      </c>
      <c r="K38" s="167" t="s">
        <v>33</v>
      </c>
      <c r="L38" s="123" t="s">
        <v>33</v>
      </c>
      <c r="M38" s="166" t="s">
        <v>33</v>
      </c>
      <c r="N38" s="131" t="s">
        <v>33</v>
      </c>
      <c r="O38" s="123" t="s">
        <v>33</v>
      </c>
      <c r="P38" s="142" t="s">
        <v>33</v>
      </c>
      <c r="Q38" s="131" t="s">
        <v>33</v>
      </c>
      <c r="R38" s="123" t="s">
        <v>33</v>
      </c>
      <c r="S38" s="132" t="s">
        <v>33</v>
      </c>
    </row>
    <row r="39" spans="1:21" s="2" customFormat="1" x14ac:dyDescent="0.25">
      <c r="A39" s="4">
        <v>10</v>
      </c>
      <c r="B39" s="13" t="s">
        <v>47</v>
      </c>
      <c r="C39" s="53">
        <f>'S 1000-M 500'!C41</f>
        <v>100</v>
      </c>
      <c r="D39" s="156" t="s">
        <v>33</v>
      </c>
      <c r="E39" s="155" t="s">
        <v>33</v>
      </c>
      <c r="F39" s="57">
        <f>C39*F25</f>
        <v>10</v>
      </c>
      <c r="G39" s="45">
        <f>C39-F39</f>
        <v>90</v>
      </c>
      <c r="H39" s="57">
        <f>C39*H25</f>
        <v>20</v>
      </c>
      <c r="I39" s="45">
        <f>G39-H39</f>
        <v>70</v>
      </c>
      <c r="K39" s="131" t="s">
        <v>33</v>
      </c>
      <c r="L39" s="124" t="s">
        <v>33</v>
      </c>
      <c r="M39" s="147" t="s">
        <v>33</v>
      </c>
      <c r="N39" s="131">
        <f>0.1*N4</f>
        <v>100</v>
      </c>
      <c r="O39" s="124">
        <f>F39*N39</f>
        <v>1000</v>
      </c>
      <c r="P39" s="147">
        <f>C39*N39</f>
        <v>10000</v>
      </c>
      <c r="Q39" s="131">
        <f>0.1*Q4</f>
        <v>100</v>
      </c>
      <c r="R39" s="124">
        <f>H39*Q39</f>
        <v>2000</v>
      </c>
      <c r="S39" s="133">
        <f>Q39*I39</f>
        <v>7000</v>
      </c>
      <c r="T39" s="141" t="s">
        <v>83</v>
      </c>
    </row>
    <row r="40" spans="1:21" s="2" customFormat="1" ht="16.5" thickBot="1" x14ac:dyDescent="0.3">
      <c r="A40" s="4">
        <v>12</v>
      </c>
      <c r="B40" s="92" t="s">
        <v>51</v>
      </c>
      <c r="C40" s="55">
        <f>'S 1000-M 500'!C43</f>
        <v>600</v>
      </c>
      <c r="D40" s="158" t="s">
        <v>33</v>
      </c>
      <c r="E40" s="159" t="s">
        <v>33</v>
      </c>
      <c r="F40" s="97">
        <v>600</v>
      </c>
      <c r="G40" s="98">
        <v>0</v>
      </c>
      <c r="H40" s="99" t="s">
        <v>33</v>
      </c>
      <c r="I40" s="98" t="s">
        <v>33</v>
      </c>
      <c r="K40" s="137" t="s">
        <v>33</v>
      </c>
      <c r="L40" s="138" t="s">
        <v>33</v>
      </c>
      <c r="M40" s="148" t="s">
        <v>33</v>
      </c>
      <c r="N40" s="137">
        <f>0.2*N4</f>
        <v>200</v>
      </c>
      <c r="O40" s="138">
        <f>F40*N40</f>
        <v>120000</v>
      </c>
      <c r="P40" s="148">
        <f>C40*N40</f>
        <v>120000</v>
      </c>
      <c r="Q40" s="140" t="s">
        <v>33</v>
      </c>
      <c r="R40" s="138" t="s">
        <v>33</v>
      </c>
      <c r="S40" s="139" t="s">
        <v>33</v>
      </c>
    </row>
    <row r="41" spans="1:21" x14ac:dyDescent="0.25">
      <c r="B41" s="34"/>
      <c r="K41" s="10"/>
      <c r="L41" s="10"/>
      <c r="M41" s="10"/>
      <c r="N41" s="10"/>
      <c r="O41" s="10"/>
      <c r="P41" s="10"/>
      <c r="Q41" s="10"/>
      <c r="R41" s="10"/>
    </row>
    <row r="42" spans="1:21" x14ac:dyDescent="0.25">
      <c r="K42" s="117"/>
      <c r="L42" s="117">
        <f>SUM(L27:L41)</f>
        <v>0</v>
      </c>
      <c r="M42" s="117">
        <f>SUM(M27:M41)</f>
        <v>0</v>
      </c>
      <c r="N42" s="117"/>
      <c r="O42" s="117">
        <f>SUM(O27:O41)</f>
        <v>293100</v>
      </c>
      <c r="P42" s="117">
        <f>SUM(P27:P41)</f>
        <v>347100</v>
      </c>
      <c r="Q42" s="117"/>
      <c r="R42" s="117">
        <f>SUM(R27:R41)</f>
        <v>12000</v>
      </c>
      <c r="S42" s="117">
        <f>SUM(S27:S41)</f>
        <v>42000</v>
      </c>
    </row>
    <row r="43" spans="1:21" x14ac:dyDescent="0.25">
      <c r="N43" s="117"/>
      <c r="O43" s="117"/>
      <c r="P43" s="117"/>
      <c r="Q43" s="117"/>
      <c r="R43" s="117"/>
      <c r="S43" s="117"/>
    </row>
    <row r="44" spans="1:21" x14ac:dyDescent="0.25">
      <c r="N44" s="117"/>
      <c r="O44" s="117"/>
      <c r="P44" s="117"/>
      <c r="Q44" s="117"/>
      <c r="R44" s="117"/>
      <c r="S44" s="117"/>
    </row>
    <row r="45" spans="1:21" x14ac:dyDescent="0.25">
      <c r="A45" s="10"/>
      <c r="B45" s="33" t="s">
        <v>129</v>
      </c>
      <c r="C45" s="11"/>
      <c r="D45" s="11"/>
      <c r="E45" s="11"/>
      <c r="F45" s="11"/>
      <c r="G45" s="10"/>
      <c r="H45" s="10"/>
      <c r="I45" s="10"/>
      <c r="J45" s="10"/>
      <c r="K45" s="10"/>
      <c r="L45" s="10"/>
      <c r="M45" s="10"/>
    </row>
    <row r="46" spans="1:21" ht="16.5" thickBot="1" x14ac:dyDescent="0.3">
      <c r="D46" s="67">
        <v>0.15</v>
      </c>
      <c r="E46" s="152" t="s">
        <v>67</v>
      </c>
      <c r="F46" s="67">
        <v>0.1</v>
      </c>
      <c r="G46" s="289" t="s">
        <v>133</v>
      </c>
      <c r="H46" s="67">
        <v>0.2</v>
      </c>
      <c r="I46" s="95" t="s">
        <v>50</v>
      </c>
      <c r="K46" s="1">
        <v>500</v>
      </c>
      <c r="M46" s="95" t="s">
        <v>67</v>
      </c>
      <c r="N46" s="1">
        <v>500</v>
      </c>
      <c r="P46" s="95" t="s">
        <v>56</v>
      </c>
      <c r="Q46" s="1">
        <v>500</v>
      </c>
      <c r="S46" s="122" t="s">
        <v>57</v>
      </c>
    </row>
    <row r="47" spans="1:21" x14ac:dyDescent="0.25">
      <c r="A47" s="25"/>
      <c r="B47" s="8" t="s">
        <v>5</v>
      </c>
      <c r="C47" s="24" t="s">
        <v>2</v>
      </c>
      <c r="D47" s="42" t="s">
        <v>32</v>
      </c>
      <c r="E47" s="43" t="s">
        <v>68</v>
      </c>
      <c r="F47" s="42" t="s">
        <v>32</v>
      </c>
      <c r="G47" s="43" t="s">
        <v>30</v>
      </c>
      <c r="H47" s="42" t="s">
        <v>32</v>
      </c>
      <c r="I47" s="43" t="s">
        <v>31</v>
      </c>
      <c r="K47" s="109" t="s">
        <v>54</v>
      </c>
      <c r="L47" s="129" t="s">
        <v>32</v>
      </c>
      <c r="M47" s="110" t="s">
        <v>55</v>
      </c>
      <c r="N47" s="109" t="s">
        <v>54</v>
      </c>
      <c r="O47" s="129" t="s">
        <v>32</v>
      </c>
      <c r="P47" s="110" t="s">
        <v>55</v>
      </c>
      <c r="Q47" s="109" t="s">
        <v>54</v>
      </c>
      <c r="R47" s="129" t="s">
        <v>32</v>
      </c>
      <c r="S47" s="110" t="s">
        <v>55</v>
      </c>
    </row>
    <row r="48" spans="1:21" x14ac:dyDescent="0.25">
      <c r="A48" s="27"/>
      <c r="B48" s="273" t="s">
        <v>110</v>
      </c>
      <c r="C48" s="28">
        <f>'S 1000-M 500'!C54</f>
        <v>4585</v>
      </c>
      <c r="D48" s="64">
        <f>(C70)*D46</f>
        <v>533.69999999999993</v>
      </c>
      <c r="E48" s="69">
        <f>C48-D48</f>
        <v>4051.3</v>
      </c>
      <c r="F48" s="64">
        <f>(C70-400)*F46+(C71+550+C77)</f>
        <v>1965.8</v>
      </c>
      <c r="G48" s="69">
        <f>E48-F48</f>
        <v>2085.5</v>
      </c>
      <c r="H48" s="64">
        <f>(C70-400)*H46</f>
        <v>631.6</v>
      </c>
      <c r="I48" s="69">
        <f>G48-H48</f>
        <v>1453.9</v>
      </c>
      <c r="K48" s="121">
        <f>K46*0.4</f>
        <v>200</v>
      </c>
      <c r="L48" s="118">
        <f>D48*K48</f>
        <v>106739.99999999999</v>
      </c>
      <c r="M48" s="107">
        <f>C48*K48</f>
        <v>917000</v>
      </c>
      <c r="N48" s="121">
        <f>N46*0.4</f>
        <v>200</v>
      </c>
      <c r="O48" s="118">
        <f>F48*N48</f>
        <v>393160</v>
      </c>
      <c r="P48" s="107">
        <f>E48*N48</f>
        <v>810260</v>
      </c>
      <c r="Q48" s="111">
        <f>Q46*0.4</f>
        <v>200</v>
      </c>
      <c r="R48" s="118">
        <f>H48*Q48</f>
        <v>126320</v>
      </c>
      <c r="S48" s="107">
        <f>Q48*I48</f>
        <v>290780</v>
      </c>
      <c r="T48" s="141" t="s">
        <v>84</v>
      </c>
      <c r="U48" s="9"/>
    </row>
    <row r="49" spans="1:20" x14ac:dyDescent="0.25">
      <c r="A49" s="17"/>
      <c r="B49" s="252" t="s">
        <v>130</v>
      </c>
      <c r="C49" s="293" t="str">
        <f>'S1 1500-M 700'!C55</f>
        <v>Valued at 5,538</v>
      </c>
      <c r="D49" s="70"/>
      <c r="E49" s="51"/>
      <c r="F49" s="70"/>
      <c r="G49" s="51"/>
      <c r="H49" s="50"/>
      <c r="I49" s="51"/>
      <c r="K49" s="150"/>
      <c r="L49" s="119"/>
      <c r="M49" s="105"/>
      <c r="N49" s="112"/>
      <c r="O49" s="119"/>
      <c r="P49" s="105"/>
      <c r="Q49" s="112"/>
      <c r="R49" s="119"/>
      <c r="S49" s="105"/>
    </row>
    <row r="50" spans="1:20" x14ac:dyDescent="0.25">
      <c r="A50" s="17"/>
      <c r="B50" s="19" t="s">
        <v>9</v>
      </c>
      <c r="C50" s="293" t="str">
        <f>'S1 1500-M 700'!C56</f>
        <v>save 953</v>
      </c>
      <c r="D50" s="70"/>
      <c r="E50" s="51"/>
      <c r="F50" s="70"/>
      <c r="G50" s="51"/>
      <c r="H50" s="50"/>
      <c r="I50" s="51"/>
      <c r="K50" s="112"/>
      <c r="L50" s="119"/>
      <c r="M50" s="105"/>
      <c r="N50" s="112"/>
      <c r="O50" s="119"/>
      <c r="P50" s="105"/>
      <c r="Q50" s="112"/>
      <c r="R50" s="119"/>
      <c r="S50" s="105"/>
    </row>
    <row r="51" spans="1:20" x14ac:dyDescent="0.25">
      <c r="A51" s="17"/>
      <c r="B51" s="19" t="s">
        <v>25</v>
      </c>
      <c r="C51" s="32"/>
      <c r="D51" s="50"/>
      <c r="E51" s="51"/>
      <c r="F51" s="50"/>
      <c r="G51" s="51"/>
      <c r="H51" s="50"/>
      <c r="I51" s="51"/>
      <c r="K51" s="112"/>
      <c r="L51" s="119"/>
      <c r="M51" s="105"/>
      <c r="N51" s="112"/>
      <c r="O51" s="119"/>
      <c r="P51" s="105"/>
      <c r="Q51" s="112"/>
      <c r="R51" s="119"/>
      <c r="S51" s="105"/>
    </row>
    <row r="52" spans="1:20" x14ac:dyDescent="0.25">
      <c r="A52" s="5"/>
      <c r="B52" s="252" t="s">
        <v>121</v>
      </c>
      <c r="C52" s="26"/>
      <c r="D52" s="50"/>
      <c r="E52" s="51"/>
      <c r="F52" s="50"/>
      <c r="G52" s="51"/>
      <c r="H52" s="50"/>
      <c r="I52" s="51"/>
      <c r="K52" s="113"/>
      <c r="L52" s="120"/>
      <c r="M52" s="108"/>
      <c r="N52" s="113"/>
      <c r="O52" s="120"/>
      <c r="P52" s="108"/>
      <c r="Q52" s="113"/>
      <c r="R52" s="120"/>
      <c r="S52" s="108"/>
    </row>
    <row r="53" spans="1:20" x14ac:dyDescent="0.25">
      <c r="A53" s="12"/>
      <c r="B53" s="274" t="s">
        <v>112</v>
      </c>
      <c r="C53" s="14">
        <f>'S1 1500-M 700'!C59</f>
        <v>4204</v>
      </c>
      <c r="D53" s="64">
        <f>(C70)*D46</f>
        <v>533.69999999999993</v>
      </c>
      <c r="E53" s="69">
        <f>C53-D53</f>
        <v>3670.3</v>
      </c>
      <c r="F53" s="64">
        <f>(C70-300)*F46+(C71+550)</f>
        <v>1225.8</v>
      </c>
      <c r="G53" s="69">
        <f>E53-F53</f>
        <v>2444.5</v>
      </c>
      <c r="H53" s="64">
        <f>(C70-300)*H46</f>
        <v>651.6</v>
      </c>
      <c r="I53" s="69">
        <f>G53-H53</f>
        <v>1792.9</v>
      </c>
      <c r="K53" s="114">
        <f>K46*0.3</f>
        <v>150</v>
      </c>
      <c r="L53" s="118">
        <f>D53*K53</f>
        <v>80054.999999999985</v>
      </c>
      <c r="M53" s="107">
        <f>C53*K53</f>
        <v>630600</v>
      </c>
      <c r="N53" s="114">
        <f>N46*0.3</f>
        <v>150</v>
      </c>
      <c r="O53" s="118">
        <f>F53*N53</f>
        <v>183870</v>
      </c>
      <c r="P53" s="107">
        <f>E53*N53</f>
        <v>550545</v>
      </c>
      <c r="Q53" s="114">
        <f>Q46*0.3</f>
        <v>150</v>
      </c>
      <c r="R53" s="118">
        <f>H53*Q53</f>
        <v>97740</v>
      </c>
      <c r="S53" s="107">
        <f>Q53*I53</f>
        <v>268935</v>
      </c>
      <c r="T53" s="141" t="s">
        <v>85</v>
      </c>
    </row>
    <row r="54" spans="1:20" x14ac:dyDescent="0.25">
      <c r="A54" s="17"/>
      <c r="B54" s="252" t="s">
        <v>130</v>
      </c>
      <c r="C54" s="293" t="str">
        <f>'S1 1500-M 700'!C60</f>
        <v>Valued at 4,768</v>
      </c>
      <c r="D54" s="70"/>
      <c r="E54" s="51"/>
      <c r="F54" s="70"/>
      <c r="G54" s="51"/>
      <c r="H54" s="50"/>
      <c r="I54" s="51"/>
      <c r="K54" s="112"/>
      <c r="L54" s="119"/>
      <c r="M54" s="105"/>
      <c r="N54" s="112"/>
      <c r="O54" s="119"/>
      <c r="P54" s="105"/>
      <c r="Q54" s="112"/>
      <c r="R54" s="119"/>
      <c r="S54" s="105"/>
    </row>
    <row r="55" spans="1:20" x14ac:dyDescent="0.25">
      <c r="A55" s="17"/>
      <c r="B55" s="19" t="s">
        <v>9</v>
      </c>
      <c r="C55" s="293" t="str">
        <f>'S1 1500-M 700'!C61</f>
        <v>save 564</v>
      </c>
      <c r="D55" s="70"/>
      <c r="E55" s="51"/>
      <c r="F55" s="70"/>
      <c r="G55" s="51"/>
      <c r="H55" s="50"/>
      <c r="I55" s="51"/>
      <c r="K55" s="112"/>
      <c r="L55" s="119"/>
      <c r="M55" s="105"/>
      <c r="N55" s="112"/>
      <c r="O55" s="119"/>
      <c r="P55" s="105"/>
      <c r="Q55" s="112"/>
      <c r="R55" s="119"/>
      <c r="S55" s="105"/>
    </row>
    <row r="56" spans="1:20" x14ac:dyDescent="0.25">
      <c r="A56" s="5"/>
      <c r="B56" s="20" t="s">
        <v>25</v>
      </c>
      <c r="C56" s="294"/>
      <c r="D56" s="65"/>
      <c r="E56" s="71"/>
      <c r="F56" s="65"/>
      <c r="G56" s="71"/>
      <c r="H56" s="65"/>
      <c r="I56" s="71"/>
      <c r="K56" s="113"/>
      <c r="L56" s="120"/>
      <c r="M56" s="108"/>
      <c r="N56" s="113"/>
      <c r="O56" s="120"/>
      <c r="P56" s="108"/>
      <c r="Q56" s="113"/>
      <c r="R56" s="120"/>
      <c r="S56" s="108"/>
    </row>
    <row r="57" spans="1:20" x14ac:dyDescent="0.25">
      <c r="A57" s="12"/>
      <c r="B57" s="274" t="s">
        <v>113</v>
      </c>
      <c r="C57" s="295">
        <f>'S1 1500-M 700'!C63</f>
        <v>3874</v>
      </c>
      <c r="D57" s="64">
        <f>(C70)*D46</f>
        <v>533.69999999999993</v>
      </c>
      <c r="E57" s="69">
        <f>C57-D57</f>
        <v>3340.3</v>
      </c>
      <c r="F57" s="64">
        <f>(C70-200)*F46+550</f>
        <v>885.8</v>
      </c>
      <c r="G57" s="69">
        <f>E57-F57</f>
        <v>2454.5</v>
      </c>
      <c r="H57" s="64">
        <f>(C70-200)*H46</f>
        <v>671.6</v>
      </c>
      <c r="I57" s="69">
        <f>G57-H57</f>
        <v>1782.9</v>
      </c>
      <c r="K57" s="112">
        <f>K46*0.2</f>
        <v>100</v>
      </c>
      <c r="L57" s="118">
        <f>D57*K57</f>
        <v>53369.999999999993</v>
      </c>
      <c r="M57" s="107">
        <f>C57*K57</f>
        <v>387400</v>
      </c>
      <c r="N57" s="112">
        <f>N46*0.2</f>
        <v>100</v>
      </c>
      <c r="O57" s="118">
        <f>F57*N57</f>
        <v>88580</v>
      </c>
      <c r="P57" s="107">
        <f>E57*N57</f>
        <v>334030</v>
      </c>
      <c r="Q57" s="112">
        <f>Q46*0.2</f>
        <v>100</v>
      </c>
      <c r="R57" s="118">
        <f>H57*Q57</f>
        <v>67160</v>
      </c>
      <c r="S57" s="103">
        <f>Q57*I57</f>
        <v>178290</v>
      </c>
      <c r="T57" s="141" t="s">
        <v>86</v>
      </c>
    </row>
    <row r="58" spans="1:20" x14ac:dyDescent="0.25">
      <c r="A58" s="17"/>
      <c r="B58" s="252" t="s">
        <v>130</v>
      </c>
      <c r="C58" s="293" t="str">
        <f>'S1 1500-M 700'!C64</f>
        <v>Valued at 4,438</v>
      </c>
      <c r="D58" s="70"/>
      <c r="E58" s="51"/>
      <c r="F58" s="70"/>
      <c r="G58" s="51"/>
      <c r="H58" s="50"/>
      <c r="I58" s="51"/>
      <c r="K58" s="112"/>
      <c r="L58" s="119"/>
      <c r="M58" s="105"/>
      <c r="N58" s="112"/>
      <c r="O58" s="119"/>
      <c r="P58" s="105"/>
      <c r="Q58" s="112"/>
      <c r="R58" s="119"/>
      <c r="S58" s="105"/>
    </row>
    <row r="59" spans="1:20" x14ac:dyDescent="0.25">
      <c r="A59" s="5"/>
      <c r="B59" s="20" t="s">
        <v>25</v>
      </c>
      <c r="C59" s="293" t="str">
        <f>'S1 1500-M 700'!C65</f>
        <v>save 564</v>
      </c>
      <c r="D59" s="70"/>
      <c r="E59" s="71"/>
      <c r="F59" s="70"/>
      <c r="G59" s="71"/>
      <c r="H59" s="65"/>
      <c r="I59" s="71"/>
      <c r="K59" s="112"/>
      <c r="L59" s="119"/>
      <c r="M59" s="105"/>
      <c r="N59" s="112"/>
      <c r="O59" s="119"/>
      <c r="P59" s="105"/>
      <c r="Q59" s="112"/>
      <c r="R59" s="119"/>
      <c r="S59" s="105"/>
    </row>
    <row r="60" spans="1:20" x14ac:dyDescent="0.25">
      <c r="A60" s="12"/>
      <c r="B60" s="274" t="s">
        <v>127</v>
      </c>
      <c r="C60" s="295">
        <f>'S1 1500-M 700'!C66</f>
        <v>3558</v>
      </c>
      <c r="D60" s="57">
        <f>C70*D46</f>
        <v>533.69999999999993</v>
      </c>
      <c r="E60" s="69">
        <f>C60-D60</f>
        <v>3024.3</v>
      </c>
      <c r="F60" s="57">
        <f>C60*F46</f>
        <v>355.8</v>
      </c>
      <c r="G60" s="69">
        <f>E60-F60</f>
        <v>2668.5</v>
      </c>
      <c r="H60" s="44">
        <f>C60*H46</f>
        <v>711.6</v>
      </c>
      <c r="I60" s="69">
        <f>G60-H60</f>
        <v>1956.9</v>
      </c>
      <c r="K60" s="114">
        <f>K46*0.1</f>
        <v>50</v>
      </c>
      <c r="L60" s="118">
        <f>D60*K60</f>
        <v>26684.999999999996</v>
      </c>
      <c r="M60" s="107">
        <f>C60*K60</f>
        <v>177900</v>
      </c>
      <c r="N60" s="114">
        <f>N46*0.1</f>
        <v>50</v>
      </c>
      <c r="O60" s="118">
        <f>F60*N60</f>
        <v>17790</v>
      </c>
      <c r="P60" s="107">
        <f>E60*N60</f>
        <v>151215</v>
      </c>
      <c r="Q60" s="114">
        <f>Q46*0.1</f>
        <v>50</v>
      </c>
      <c r="R60" s="118">
        <f>H60*Q60</f>
        <v>35580</v>
      </c>
      <c r="S60" s="107">
        <f>Q60*I60</f>
        <v>97845</v>
      </c>
      <c r="T60" s="141" t="s">
        <v>87</v>
      </c>
    </row>
    <row r="61" spans="1:20" ht="16.5" thickBot="1" x14ac:dyDescent="0.3">
      <c r="A61" s="5"/>
      <c r="B61" s="292" t="s">
        <v>130</v>
      </c>
      <c r="C61" s="296"/>
      <c r="D61" s="73"/>
      <c r="E61" s="74"/>
      <c r="F61" s="73"/>
      <c r="G61" s="74"/>
      <c r="H61" s="75"/>
      <c r="I61" s="74"/>
      <c r="K61" s="115"/>
      <c r="L61" s="130"/>
      <c r="M61" s="106"/>
      <c r="N61" s="115"/>
      <c r="O61" s="130"/>
      <c r="P61" s="106"/>
      <c r="Q61" s="116"/>
      <c r="R61" s="130"/>
      <c r="S61" s="106"/>
    </row>
    <row r="62" spans="1:20" x14ac:dyDescent="0.25">
      <c r="K62" s="10"/>
      <c r="L62" s="10"/>
      <c r="M62" s="10"/>
      <c r="N62" s="10"/>
      <c r="O62" s="10"/>
      <c r="P62" s="10"/>
      <c r="Q62" s="10"/>
      <c r="R62" s="10"/>
    </row>
    <row r="63" spans="1:20" x14ac:dyDescent="0.25">
      <c r="K63" s="117"/>
      <c r="L63" s="117">
        <f>SUM(L48:L62)</f>
        <v>266849.99999999994</v>
      </c>
      <c r="M63" s="117">
        <f>SUM(M48:M62)</f>
        <v>2112900</v>
      </c>
      <c r="N63" s="117"/>
      <c r="O63" s="117">
        <f>SUM(O48:O62)</f>
        <v>683400</v>
      </c>
      <c r="P63" s="117">
        <f>SUM(P48:P62)</f>
        <v>1846050</v>
      </c>
      <c r="Q63" s="117"/>
      <c r="R63" s="117">
        <f>SUM(R48:R62)</f>
        <v>326800</v>
      </c>
      <c r="S63" s="117">
        <f>SUM(S48:S62)</f>
        <v>835850</v>
      </c>
    </row>
    <row r="64" spans="1:20" x14ac:dyDescent="0.25">
      <c r="B64" s="35"/>
      <c r="N64" s="117"/>
      <c r="O64" s="117"/>
      <c r="P64" s="117"/>
      <c r="Q64" s="117"/>
      <c r="R64" s="117"/>
      <c r="S64" s="117"/>
    </row>
    <row r="65" spans="1:20" x14ac:dyDescent="0.25">
      <c r="B65" s="35"/>
      <c r="N65" s="117"/>
      <c r="O65" s="117"/>
      <c r="P65" s="117"/>
      <c r="Q65" s="117"/>
      <c r="R65" s="117"/>
      <c r="S65" s="117"/>
    </row>
    <row r="66" spans="1:20" x14ac:dyDescent="0.25">
      <c r="B66" s="35"/>
      <c r="N66" s="117"/>
      <c r="O66" s="117"/>
      <c r="P66" s="117"/>
      <c r="Q66" s="117"/>
      <c r="R66" s="117"/>
      <c r="S66" s="117"/>
    </row>
    <row r="67" spans="1:20" x14ac:dyDescent="0.25">
      <c r="B67" s="35" t="s">
        <v>6</v>
      </c>
      <c r="N67" s="117"/>
      <c r="O67" s="117"/>
      <c r="P67" s="117"/>
      <c r="Q67" s="117"/>
      <c r="R67" s="117"/>
      <c r="S67" s="117"/>
    </row>
    <row r="68" spans="1:20" ht="16.5" thickBot="1" x14ac:dyDescent="0.3">
      <c r="A68" s="2"/>
      <c r="B68" s="2"/>
      <c r="C68" s="2"/>
      <c r="D68" s="67">
        <v>0</v>
      </c>
      <c r="E68" s="95"/>
      <c r="F68" s="67">
        <v>0.1</v>
      </c>
      <c r="G68" s="289" t="s">
        <v>134</v>
      </c>
      <c r="H68" s="67">
        <v>0.2</v>
      </c>
      <c r="I68" s="95" t="s">
        <v>50</v>
      </c>
      <c r="J68" s="38"/>
      <c r="M68" s="95" t="s">
        <v>67</v>
      </c>
      <c r="P68" s="95" t="s">
        <v>56</v>
      </c>
      <c r="S68" s="122" t="s">
        <v>57</v>
      </c>
    </row>
    <row r="69" spans="1:20" s="2" customFormat="1" ht="15" x14ac:dyDescent="0.25">
      <c r="A69" s="8"/>
      <c r="B69" s="8" t="s">
        <v>5</v>
      </c>
      <c r="C69" s="39" t="s">
        <v>27</v>
      </c>
      <c r="D69" s="42" t="s">
        <v>32</v>
      </c>
      <c r="E69" s="43" t="s">
        <v>68</v>
      </c>
      <c r="F69" s="42" t="s">
        <v>32</v>
      </c>
      <c r="G69" s="43" t="s">
        <v>28</v>
      </c>
      <c r="H69" s="63" t="s">
        <v>32</v>
      </c>
      <c r="I69" s="43" t="s">
        <v>29</v>
      </c>
      <c r="K69" s="109" t="s">
        <v>58</v>
      </c>
      <c r="L69" s="129" t="s">
        <v>32</v>
      </c>
      <c r="M69" s="110" t="s">
        <v>55</v>
      </c>
      <c r="N69" s="109" t="s">
        <v>58</v>
      </c>
      <c r="O69" s="129" t="s">
        <v>32</v>
      </c>
      <c r="P69" s="110" t="s">
        <v>55</v>
      </c>
      <c r="Q69" s="109" t="s">
        <v>66</v>
      </c>
      <c r="R69" s="129" t="s">
        <v>32</v>
      </c>
      <c r="S69" s="110" t="s">
        <v>55</v>
      </c>
    </row>
    <row r="70" spans="1:20" s="2" customFormat="1" x14ac:dyDescent="0.25">
      <c r="A70" s="6">
        <v>1</v>
      </c>
      <c r="B70" s="274" t="s">
        <v>128</v>
      </c>
      <c r="C70" s="53">
        <f>'S1 1500-M 700'!C76</f>
        <v>3558</v>
      </c>
      <c r="D70" s="57">
        <f>A70*D68</f>
        <v>0</v>
      </c>
      <c r="E70" s="45">
        <v>0</v>
      </c>
      <c r="F70" s="57">
        <f>C70*F68</f>
        <v>355.8</v>
      </c>
      <c r="G70" s="45">
        <f>C70-F70</f>
        <v>3202.2</v>
      </c>
      <c r="H70" s="76">
        <f>C70*H68</f>
        <v>711.6</v>
      </c>
      <c r="I70" s="45">
        <f>G70-H70</f>
        <v>2490.6</v>
      </c>
      <c r="K70" s="121">
        <v>0</v>
      </c>
      <c r="L70" s="118">
        <f>C70*K70</f>
        <v>0</v>
      </c>
      <c r="M70" s="107">
        <v>0</v>
      </c>
      <c r="N70" s="121">
        <v>0</v>
      </c>
      <c r="O70" s="118">
        <f>F70*N70</f>
        <v>0</v>
      </c>
      <c r="P70" s="107">
        <f>C70*N70</f>
        <v>0</v>
      </c>
      <c r="Q70" s="111">
        <v>0</v>
      </c>
      <c r="R70" s="118">
        <v>0</v>
      </c>
      <c r="S70" s="107">
        <f>Q70*I70</f>
        <v>0</v>
      </c>
    </row>
    <row r="71" spans="1:20" s="2" customFormat="1" x14ac:dyDescent="0.25">
      <c r="A71" s="6">
        <v>2</v>
      </c>
      <c r="B71" s="37" t="s">
        <v>0</v>
      </c>
      <c r="C71" s="54">
        <f>'S 1000-M 500'!C77</f>
        <v>350</v>
      </c>
      <c r="D71" s="153" t="s">
        <v>33</v>
      </c>
      <c r="E71" s="93" t="s">
        <v>33</v>
      </c>
      <c r="F71" s="58">
        <v>350</v>
      </c>
      <c r="G71" s="47">
        <v>0</v>
      </c>
      <c r="H71" s="77" t="s">
        <v>33</v>
      </c>
      <c r="I71" s="47" t="s">
        <v>33</v>
      </c>
      <c r="K71" s="131" t="s">
        <v>33</v>
      </c>
      <c r="L71" s="123" t="s">
        <v>33</v>
      </c>
      <c r="M71" s="123" t="s">
        <v>33</v>
      </c>
      <c r="N71" s="131">
        <f>(N57+N60)*0.5</f>
        <v>75</v>
      </c>
      <c r="O71" s="123">
        <f>F71*N71</f>
        <v>26250</v>
      </c>
      <c r="P71" s="123">
        <f>C71*N71</f>
        <v>26250</v>
      </c>
      <c r="Q71" s="131" t="s">
        <v>33</v>
      </c>
      <c r="R71" s="123" t="s">
        <v>33</v>
      </c>
      <c r="S71" s="132" t="s">
        <v>33</v>
      </c>
      <c r="T71" s="141" t="s">
        <v>59</v>
      </c>
    </row>
    <row r="72" spans="1:20" s="2" customFormat="1" x14ac:dyDescent="0.25">
      <c r="A72" s="4">
        <v>3</v>
      </c>
      <c r="B72" s="37" t="s">
        <v>16</v>
      </c>
      <c r="C72" s="40">
        <f>'S 1000-M 500'!C78</f>
        <v>500</v>
      </c>
      <c r="D72" s="154" t="s">
        <v>33</v>
      </c>
      <c r="E72" s="155" t="s">
        <v>33</v>
      </c>
      <c r="F72" s="57">
        <f>C72*F68</f>
        <v>50</v>
      </c>
      <c r="G72" s="45">
        <f>C72-F72</f>
        <v>450</v>
      </c>
      <c r="H72" s="76">
        <f>C72*H68</f>
        <v>100</v>
      </c>
      <c r="I72" s="45">
        <f>G72-H72</f>
        <v>350</v>
      </c>
      <c r="K72" s="131" t="s">
        <v>33</v>
      </c>
      <c r="L72" s="123" t="s">
        <v>33</v>
      </c>
      <c r="M72" s="123" t="s">
        <v>33</v>
      </c>
      <c r="N72" s="131">
        <f>0.1*N46</f>
        <v>50</v>
      </c>
      <c r="O72" s="123">
        <f>F72*N72</f>
        <v>2500</v>
      </c>
      <c r="P72" s="123">
        <f>C72*N72</f>
        <v>25000</v>
      </c>
      <c r="Q72" s="131">
        <f>0.1*Q46</f>
        <v>50</v>
      </c>
      <c r="R72" s="123">
        <f>H72*Q72</f>
        <v>5000</v>
      </c>
      <c r="S72" s="142">
        <f>I72*Q72</f>
        <v>17500</v>
      </c>
      <c r="T72" s="141" t="s">
        <v>87</v>
      </c>
    </row>
    <row r="73" spans="1:20" s="2" customFormat="1" x14ac:dyDescent="0.25">
      <c r="A73" s="23">
        <v>4</v>
      </c>
      <c r="B73" s="4" t="s">
        <v>38</v>
      </c>
      <c r="C73" s="55">
        <f>'S 1000-M 500'!C79</f>
        <v>550</v>
      </c>
      <c r="D73" s="153" t="s">
        <v>33</v>
      </c>
      <c r="E73" s="93" t="s">
        <v>33</v>
      </c>
      <c r="F73" s="52">
        <v>550</v>
      </c>
      <c r="G73" s="47">
        <v>0</v>
      </c>
      <c r="H73" s="77" t="s">
        <v>33</v>
      </c>
      <c r="I73" s="47" t="s">
        <v>33</v>
      </c>
      <c r="K73" s="131" t="s">
        <v>33</v>
      </c>
      <c r="L73" s="123" t="s">
        <v>33</v>
      </c>
      <c r="M73" s="123" t="s">
        <v>33</v>
      </c>
      <c r="N73" s="131">
        <f>0.3*N60</f>
        <v>15</v>
      </c>
      <c r="O73" s="123">
        <f>N73*F73</f>
        <v>8250</v>
      </c>
      <c r="P73" s="142">
        <f>C73*N73</f>
        <v>8250</v>
      </c>
      <c r="Q73" s="131" t="s">
        <v>33</v>
      </c>
      <c r="R73" s="123" t="s">
        <v>33</v>
      </c>
      <c r="S73" s="142" t="s">
        <v>33</v>
      </c>
      <c r="T73" s="141" t="s">
        <v>61</v>
      </c>
    </row>
    <row r="74" spans="1:20" s="2" customFormat="1" x14ac:dyDescent="0.25">
      <c r="A74" s="23">
        <v>5</v>
      </c>
      <c r="B74" s="92" t="s">
        <v>48</v>
      </c>
      <c r="C74" s="55">
        <f>'S 1000-M 500'!C80</f>
        <v>150</v>
      </c>
      <c r="D74" s="154" t="s">
        <v>33</v>
      </c>
      <c r="E74" s="155" t="s">
        <v>33</v>
      </c>
      <c r="F74" s="94">
        <v>150</v>
      </c>
      <c r="G74" s="93">
        <v>0</v>
      </c>
      <c r="H74" s="94" t="s">
        <v>33</v>
      </c>
      <c r="I74" s="93" t="s">
        <v>33</v>
      </c>
      <c r="K74" s="131" t="s">
        <v>33</v>
      </c>
      <c r="L74" s="123" t="s">
        <v>33</v>
      </c>
      <c r="M74" s="123" t="s">
        <v>33</v>
      </c>
      <c r="N74" s="131">
        <f>N46*0.3</f>
        <v>150</v>
      </c>
      <c r="O74" s="123">
        <f>C74*N74</f>
        <v>22500</v>
      </c>
      <c r="P74" s="142">
        <f>F74*N74</f>
        <v>22500</v>
      </c>
      <c r="Q74" s="131" t="s">
        <v>33</v>
      </c>
      <c r="R74" s="123" t="s">
        <v>33</v>
      </c>
      <c r="S74" s="142" t="s">
        <v>33</v>
      </c>
      <c r="T74" s="141" t="s">
        <v>86</v>
      </c>
    </row>
    <row r="75" spans="1:20" s="2" customFormat="1" x14ac:dyDescent="0.25">
      <c r="A75" s="13">
        <v>6</v>
      </c>
      <c r="B75" s="4" t="s">
        <v>7</v>
      </c>
      <c r="C75" s="55">
        <f>'S 1000-M 500'!C81</f>
        <v>280</v>
      </c>
      <c r="D75" s="153" t="s">
        <v>33</v>
      </c>
      <c r="E75" s="93" t="s">
        <v>33</v>
      </c>
      <c r="F75" s="52">
        <v>280</v>
      </c>
      <c r="G75" s="47">
        <v>0</v>
      </c>
      <c r="H75" s="77" t="s">
        <v>33</v>
      </c>
      <c r="I75" s="47" t="s">
        <v>33</v>
      </c>
      <c r="K75" s="131" t="s">
        <v>33</v>
      </c>
      <c r="L75" s="123" t="s">
        <v>33</v>
      </c>
      <c r="M75" s="123" t="s">
        <v>33</v>
      </c>
      <c r="N75" s="134">
        <f>(N53+N57+N60)*0.2</f>
        <v>60</v>
      </c>
      <c r="O75" s="124">
        <f>F75*N75</f>
        <v>16800</v>
      </c>
      <c r="P75" s="147">
        <f>C75*N75</f>
        <v>16800</v>
      </c>
      <c r="Q75" s="131" t="s">
        <v>33</v>
      </c>
      <c r="R75" s="123" t="s">
        <v>33</v>
      </c>
      <c r="S75" s="142" t="s">
        <v>33</v>
      </c>
      <c r="T75" s="141" t="s">
        <v>60</v>
      </c>
    </row>
    <row r="76" spans="1:20" s="2" customFormat="1" x14ac:dyDescent="0.25">
      <c r="A76" s="23">
        <v>7</v>
      </c>
      <c r="B76" s="4" t="s">
        <v>17</v>
      </c>
      <c r="C76" s="56">
        <f>'S 1000-M 500'!C82</f>
        <v>50</v>
      </c>
      <c r="D76" s="154" t="s">
        <v>33</v>
      </c>
      <c r="E76" s="155" t="s">
        <v>33</v>
      </c>
      <c r="F76" s="46">
        <v>50</v>
      </c>
      <c r="G76" s="47">
        <v>0</v>
      </c>
      <c r="H76" s="77" t="s">
        <v>33</v>
      </c>
      <c r="I76" s="93" t="s">
        <v>33</v>
      </c>
      <c r="K76" s="131" t="s">
        <v>33</v>
      </c>
      <c r="L76" s="123" t="s">
        <v>33</v>
      </c>
      <c r="M76" s="123" t="s">
        <v>33</v>
      </c>
      <c r="N76" s="134">
        <f>(N53+N57+N60)*0.2</f>
        <v>60</v>
      </c>
      <c r="O76" s="125">
        <f>F76*N76</f>
        <v>3000</v>
      </c>
      <c r="P76" s="149">
        <f>C76*N76</f>
        <v>3000</v>
      </c>
      <c r="Q76" s="131" t="s">
        <v>33</v>
      </c>
      <c r="R76" s="123" t="s">
        <v>33</v>
      </c>
      <c r="S76" s="142" t="s">
        <v>33</v>
      </c>
      <c r="T76" s="141" t="s">
        <v>60</v>
      </c>
    </row>
    <row r="77" spans="1:20" s="2" customFormat="1" x14ac:dyDescent="0.25">
      <c r="A77" s="23">
        <v>8</v>
      </c>
      <c r="B77" s="287" t="s">
        <v>116</v>
      </c>
      <c r="C77" s="53">
        <f>'S 1000-M 500'!C83</f>
        <v>750</v>
      </c>
      <c r="D77" s="154" t="s">
        <v>33</v>
      </c>
      <c r="E77" s="157" t="s">
        <v>33</v>
      </c>
      <c r="F77" s="57">
        <v>750</v>
      </c>
      <c r="G77" s="59">
        <v>0</v>
      </c>
      <c r="H77" s="78" t="s">
        <v>33</v>
      </c>
      <c r="I77" s="49" t="s">
        <v>33</v>
      </c>
      <c r="K77" s="134" t="s">
        <v>33</v>
      </c>
      <c r="L77" s="125" t="s">
        <v>33</v>
      </c>
      <c r="M77" s="143" t="s">
        <v>33</v>
      </c>
      <c r="N77" s="134">
        <f>(N53+N57+N60)*0.2</f>
        <v>60</v>
      </c>
      <c r="O77" s="127">
        <f>F77*N77</f>
        <v>45000</v>
      </c>
      <c r="P77" s="143">
        <f>C77*N77</f>
        <v>45000</v>
      </c>
      <c r="Q77" s="134" t="s">
        <v>33</v>
      </c>
      <c r="R77" s="127" t="s">
        <v>33</v>
      </c>
      <c r="S77" s="135" t="s">
        <v>33</v>
      </c>
      <c r="T77" s="141" t="s">
        <v>60</v>
      </c>
    </row>
    <row r="78" spans="1:20" s="2" customFormat="1" x14ac:dyDescent="0.25">
      <c r="A78" s="21"/>
      <c r="B78" s="22" t="s">
        <v>22</v>
      </c>
      <c r="C78" s="41"/>
      <c r="D78" s="50"/>
      <c r="E78" s="51"/>
      <c r="F78" s="50"/>
      <c r="G78" s="51"/>
      <c r="H78" s="79"/>
      <c r="I78" s="51"/>
      <c r="K78" s="104"/>
      <c r="L78" s="119"/>
      <c r="M78" s="144"/>
      <c r="N78" s="104"/>
      <c r="O78" s="11"/>
      <c r="P78" s="144"/>
      <c r="Q78" s="104"/>
      <c r="R78" s="11"/>
      <c r="S78" s="105"/>
    </row>
    <row r="79" spans="1:20" s="2" customFormat="1" x14ac:dyDescent="0.25">
      <c r="A79" s="22"/>
      <c r="B79" s="22" t="s">
        <v>19</v>
      </c>
      <c r="C79" s="41"/>
      <c r="D79" s="50"/>
      <c r="E79" s="51"/>
      <c r="F79" s="50"/>
      <c r="G79" s="51"/>
      <c r="H79" s="79"/>
      <c r="I79" s="51"/>
      <c r="K79" s="104"/>
      <c r="L79" s="168"/>
      <c r="M79" s="145"/>
      <c r="N79" s="104"/>
      <c r="O79" s="126"/>
      <c r="P79" s="145"/>
      <c r="Q79" s="104"/>
      <c r="R79" s="126"/>
      <c r="S79" s="103"/>
    </row>
    <row r="80" spans="1:20" s="2" customFormat="1" x14ac:dyDescent="0.25">
      <c r="A80" s="22"/>
      <c r="B80" s="22" t="s">
        <v>20</v>
      </c>
      <c r="C80" s="41"/>
      <c r="D80" s="50"/>
      <c r="E80" s="51"/>
      <c r="F80" s="50"/>
      <c r="G80" s="51"/>
      <c r="H80" s="79"/>
      <c r="I80" s="51"/>
      <c r="K80" s="136"/>
      <c r="L80" s="120"/>
      <c r="M80" s="146"/>
      <c r="N80" s="136"/>
      <c r="O80" s="128"/>
      <c r="P80" s="146"/>
      <c r="Q80" s="136"/>
      <c r="R80" s="128"/>
      <c r="S80" s="108"/>
    </row>
    <row r="81" spans="1:20" s="2" customFormat="1" x14ac:dyDescent="0.25">
      <c r="A81" s="4">
        <v>9</v>
      </c>
      <c r="B81" s="4" t="s">
        <v>23</v>
      </c>
      <c r="C81" s="55">
        <f>'S 1000-M 500'!C87</f>
        <v>1150</v>
      </c>
      <c r="D81" s="156" t="s">
        <v>33</v>
      </c>
      <c r="E81" s="155" t="s">
        <v>33</v>
      </c>
      <c r="F81" s="52">
        <f>C81*F68</f>
        <v>115</v>
      </c>
      <c r="G81" s="45">
        <f>C81-F81</f>
        <v>1035</v>
      </c>
      <c r="H81" s="80">
        <f>C81*H68</f>
        <v>230</v>
      </c>
      <c r="I81" s="45">
        <f>G81-H81</f>
        <v>805</v>
      </c>
      <c r="K81" s="131" t="s">
        <v>33</v>
      </c>
      <c r="L81" s="123" t="s">
        <v>33</v>
      </c>
      <c r="M81" s="142" t="s">
        <v>33</v>
      </c>
      <c r="N81" s="131" t="s">
        <v>33</v>
      </c>
      <c r="O81" s="123" t="s">
        <v>33</v>
      </c>
      <c r="P81" s="142" t="s">
        <v>33</v>
      </c>
      <c r="Q81" s="131" t="s">
        <v>33</v>
      </c>
      <c r="R81" s="123" t="s">
        <v>33</v>
      </c>
      <c r="S81" s="132" t="s">
        <v>33</v>
      </c>
    </row>
    <row r="82" spans="1:20" s="2" customFormat="1" x14ac:dyDescent="0.25">
      <c r="A82" s="4">
        <v>10</v>
      </c>
      <c r="B82" s="4" t="s">
        <v>47</v>
      </c>
      <c r="C82" s="55">
        <f>'S 1000-M 500'!C88</f>
        <v>100</v>
      </c>
      <c r="D82" s="156" t="s">
        <v>33</v>
      </c>
      <c r="E82" s="155" t="s">
        <v>33</v>
      </c>
      <c r="F82" s="52">
        <f>C82*F68</f>
        <v>10</v>
      </c>
      <c r="G82" s="81">
        <f>C82-F82</f>
        <v>90</v>
      </c>
      <c r="H82" s="80">
        <f>C82*H68</f>
        <v>20</v>
      </c>
      <c r="I82" s="81">
        <f>G82-H82</f>
        <v>70</v>
      </c>
      <c r="K82" s="131" t="s">
        <v>33</v>
      </c>
      <c r="L82" s="124" t="s">
        <v>33</v>
      </c>
      <c r="M82" s="147" t="s">
        <v>33</v>
      </c>
      <c r="N82" s="131">
        <f>0.1*N46</f>
        <v>50</v>
      </c>
      <c r="O82" s="124">
        <f>F82*N82</f>
        <v>500</v>
      </c>
      <c r="P82" s="147">
        <f>C82*N82</f>
        <v>5000</v>
      </c>
      <c r="Q82" s="131">
        <f>0.1*Q46</f>
        <v>50</v>
      </c>
      <c r="R82" s="124">
        <f>H82*Q82</f>
        <v>1000</v>
      </c>
      <c r="S82" s="133">
        <f>Q82*I82</f>
        <v>3500</v>
      </c>
      <c r="T82" s="141" t="s">
        <v>87</v>
      </c>
    </row>
    <row r="83" spans="1:20" s="2" customFormat="1" ht="16.5" thickBot="1" x14ac:dyDescent="0.3">
      <c r="A83" s="4">
        <v>12</v>
      </c>
      <c r="B83" s="4" t="s">
        <v>34</v>
      </c>
      <c r="C83" s="55">
        <f>'S 1000-M 500'!C90</f>
        <v>600</v>
      </c>
      <c r="D83" s="158" t="s">
        <v>33</v>
      </c>
      <c r="E83" s="159" t="s">
        <v>33</v>
      </c>
      <c r="F83" s="97">
        <v>600</v>
      </c>
      <c r="G83" s="98">
        <v>0</v>
      </c>
      <c r="H83" s="102" t="s">
        <v>33</v>
      </c>
      <c r="I83" s="98" t="s">
        <v>33</v>
      </c>
      <c r="K83" s="137" t="s">
        <v>33</v>
      </c>
      <c r="L83" s="138" t="s">
        <v>33</v>
      </c>
      <c r="M83" s="148" t="s">
        <v>33</v>
      </c>
      <c r="N83" s="137">
        <f>0.2*N46</f>
        <v>100</v>
      </c>
      <c r="O83" s="138">
        <f>F83*N83</f>
        <v>60000</v>
      </c>
      <c r="P83" s="148">
        <f>C83*N83</f>
        <v>60000</v>
      </c>
      <c r="Q83" s="140" t="s">
        <v>33</v>
      </c>
      <c r="R83" s="138" t="s">
        <v>33</v>
      </c>
      <c r="S83" s="139" t="s">
        <v>33</v>
      </c>
    </row>
    <row r="84" spans="1:20" x14ac:dyDescent="0.25">
      <c r="K84" s="10"/>
      <c r="L84" s="10"/>
      <c r="M84" s="10"/>
      <c r="N84" s="10"/>
      <c r="O84" s="10"/>
      <c r="P84" s="10"/>
      <c r="Q84" s="10"/>
      <c r="R84" s="10"/>
    </row>
    <row r="85" spans="1:20" x14ac:dyDescent="0.25">
      <c r="K85" s="117"/>
      <c r="L85" s="117">
        <f>SUM(L70:L84)</f>
        <v>0</v>
      </c>
      <c r="M85" s="117">
        <f>SUM(M70:M84)</f>
        <v>0</v>
      </c>
      <c r="N85" s="117"/>
      <c r="O85" s="117">
        <f>SUM(O70:O84)</f>
        <v>184800</v>
      </c>
      <c r="P85" s="117">
        <f>SUM(P70:P84)</f>
        <v>211800</v>
      </c>
      <c r="Q85" s="117"/>
      <c r="R85" s="117">
        <f>SUM(R70:R84)</f>
        <v>6000</v>
      </c>
      <c r="S85" s="117">
        <f>SUM(S70:S84)</f>
        <v>21000</v>
      </c>
    </row>
    <row r="89" spans="1:20" x14ac:dyDescent="0.25">
      <c r="G89" s="1" t="s">
        <v>62</v>
      </c>
      <c r="L89" s="117">
        <f>L21+L63</f>
        <v>663300</v>
      </c>
      <c r="M89" s="117">
        <f>M21+M63</f>
        <v>5118700</v>
      </c>
      <c r="O89" s="117">
        <f>O21+O42+O63+O85</f>
        <v>2039600</v>
      </c>
      <c r="P89" s="117">
        <f>P21+P42+P63+P85</f>
        <v>5014300</v>
      </c>
      <c r="Q89" s="117"/>
      <c r="R89" s="117">
        <f t="shared" ref="R89" si="0">R21+R42+R63+R85</f>
        <v>831400</v>
      </c>
      <c r="S89" s="117">
        <f>S21+S42+S63+S85</f>
        <v>2143300</v>
      </c>
    </row>
    <row r="90" spans="1:20" x14ac:dyDescent="0.25">
      <c r="O90" s="1" t="s">
        <v>63</v>
      </c>
    </row>
    <row r="91" spans="1:20" x14ac:dyDescent="0.25">
      <c r="O91" s="1" t="s">
        <v>64</v>
      </c>
      <c r="R91" s="117"/>
    </row>
    <row r="92" spans="1:20" x14ac:dyDescent="0.25">
      <c r="O92" s="1" t="s">
        <v>65</v>
      </c>
    </row>
  </sheetData>
  <pageMargins left="0.23622047244094491" right="0.15748031496062992" top="0.44" bottom="0.28000000000000003" header="0.31496062992125984" footer="0.17"/>
  <pageSetup paperSize="9" scale="90" orientation="landscape" r:id="rId1"/>
  <ignoredErrors>
    <ignoredError sqref="F6:F18 H6:H18" formula="1"/>
    <ignoredError sqref="C51:C52 D48:D60 E48:E60 C56" evalErro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26"/>
  <sheetViews>
    <sheetView workbookViewId="0">
      <selection activeCell="H12" sqref="H12"/>
    </sheetView>
  </sheetViews>
  <sheetFormatPr defaultRowHeight="12.75" x14ac:dyDescent="0.2"/>
  <cols>
    <col min="2" max="2" width="11.28515625" bestFit="1" customWidth="1"/>
    <col min="4" max="5" width="9.5703125" bestFit="1" customWidth="1"/>
    <col min="6" max="6" width="12.42578125" bestFit="1" customWidth="1"/>
    <col min="7" max="7" width="11" bestFit="1" customWidth="1"/>
    <col min="8" max="8" width="12.42578125" bestFit="1" customWidth="1"/>
  </cols>
  <sheetData>
    <row r="4" spans="1:8" x14ac:dyDescent="0.2">
      <c r="D4" t="s">
        <v>71</v>
      </c>
      <c r="E4" t="s">
        <v>72</v>
      </c>
      <c r="F4" t="s">
        <v>78</v>
      </c>
      <c r="G4" t="s">
        <v>73</v>
      </c>
      <c r="H4" t="s">
        <v>79</v>
      </c>
    </row>
    <row r="5" spans="1:8" x14ac:dyDescent="0.2">
      <c r="A5">
        <v>1</v>
      </c>
      <c r="B5" t="s">
        <v>70</v>
      </c>
      <c r="C5" t="s">
        <v>69</v>
      </c>
      <c r="D5" s="162">
        <v>1500</v>
      </c>
      <c r="E5" s="162">
        <v>2200</v>
      </c>
      <c r="F5" s="162">
        <f>D5*E5</f>
        <v>3300000</v>
      </c>
      <c r="G5" s="163">
        <f>F5*0.15</f>
        <v>495000</v>
      </c>
      <c r="H5" s="163">
        <f>F5-G5</f>
        <v>2805000</v>
      </c>
    </row>
    <row r="6" spans="1:8" x14ac:dyDescent="0.2">
      <c r="D6" s="162"/>
      <c r="E6" s="162"/>
      <c r="F6" s="162"/>
    </row>
    <row r="7" spans="1:8" x14ac:dyDescent="0.2">
      <c r="A7">
        <v>2</v>
      </c>
      <c r="B7" t="s">
        <v>70</v>
      </c>
      <c r="C7" t="s">
        <v>69</v>
      </c>
      <c r="D7" s="162">
        <v>1000</v>
      </c>
      <c r="E7" s="162">
        <v>2200</v>
      </c>
      <c r="F7" s="162">
        <f t="shared" ref="F7:F8" si="0">D7*E7</f>
        <v>2200000</v>
      </c>
      <c r="G7" s="163">
        <f t="shared" ref="G7:G8" si="1">F7*0.15</f>
        <v>330000</v>
      </c>
      <c r="H7" s="163">
        <f t="shared" ref="H7:H8" si="2">F7-G7</f>
        <v>1870000</v>
      </c>
    </row>
    <row r="8" spans="1:8" x14ac:dyDescent="0.2">
      <c r="B8" t="s">
        <v>74</v>
      </c>
      <c r="C8" t="s">
        <v>69</v>
      </c>
      <c r="D8" s="162">
        <v>500</v>
      </c>
      <c r="E8" s="162">
        <v>3200</v>
      </c>
      <c r="F8" s="164">
        <f t="shared" si="0"/>
        <v>1600000</v>
      </c>
      <c r="G8" s="165">
        <f t="shared" si="1"/>
        <v>240000</v>
      </c>
      <c r="H8" s="165">
        <f t="shared" si="2"/>
        <v>1360000</v>
      </c>
    </row>
    <row r="9" spans="1:8" x14ac:dyDescent="0.2">
      <c r="D9" s="162"/>
      <c r="E9" s="162"/>
      <c r="F9" s="162">
        <f>SUM(F7:F8)</f>
        <v>3800000</v>
      </c>
      <c r="G9" s="163">
        <f>SUM(G7:G8)</f>
        <v>570000</v>
      </c>
      <c r="H9" s="163">
        <f>SUM(H7:H8)</f>
        <v>3230000</v>
      </c>
    </row>
    <row r="10" spans="1:8" x14ac:dyDescent="0.2">
      <c r="D10" s="162"/>
      <c r="E10" s="162"/>
      <c r="F10" s="162"/>
      <c r="G10" s="163"/>
      <c r="H10" s="163"/>
    </row>
    <row r="11" spans="1:8" x14ac:dyDescent="0.2">
      <c r="D11" s="162"/>
      <c r="E11" s="162"/>
      <c r="F11" s="162"/>
    </row>
    <row r="12" spans="1:8" x14ac:dyDescent="0.2">
      <c r="A12">
        <v>3</v>
      </c>
      <c r="B12" t="s">
        <v>70</v>
      </c>
      <c r="D12" s="162">
        <v>1000</v>
      </c>
      <c r="E12" s="162"/>
      <c r="F12" s="162"/>
      <c r="G12" s="163">
        <f>'1st year'!L89</f>
        <v>663300</v>
      </c>
      <c r="H12" s="163">
        <f>'1st year'!S89+'1st year'!R89+'1st year'!O89</f>
        <v>5014300</v>
      </c>
    </row>
    <row r="13" spans="1:8" x14ac:dyDescent="0.2">
      <c r="B13" t="s">
        <v>75</v>
      </c>
      <c r="D13" s="162">
        <v>500</v>
      </c>
      <c r="E13" s="162"/>
      <c r="F13" s="162"/>
    </row>
    <row r="14" spans="1:8" x14ac:dyDescent="0.2">
      <c r="B14" t="s">
        <v>76</v>
      </c>
      <c r="D14" s="162"/>
      <c r="E14" s="162"/>
      <c r="F14" s="162"/>
    </row>
    <row r="15" spans="1:8" x14ac:dyDescent="0.2">
      <c r="B15" t="s">
        <v>77</v>
      </c>
      <c r="D15" s="162"/>
      <c r="E15" s="162"/>
      <c r="F15" s="162"/>
    </row>
    <row r="16" spans="1:8" x14ac:dyDescent="0.2">
      <c r="D16" s="162"/>
      <c r="E16" s="162"/>
      <c r="F16" s="162"/>
    </row>
    <row r="17" spans="4:6" x14ac:dyDescent="0.2">
      <c r="D17" s="162"/>
      <c r="E17" s="162"/>
      <c r="F17" s="162"/>
    </row>
    <row r="18" spans="4:6" x14ac:dyDescent="0.2">
      <c r="D18" s="162"/>
      <c r="E18" s="162"/>
      <c r="F18" s="162"/>
    </row>
    <row r="19" spans="4:6" x14ac:dyDescent="0.2">
      <c r="D19" s="162"/>
      <c r="E19" s="162"/>
      <c r="F19" s="162"/>
    </row>
    <row r="20" spans="4:6" x14ac:dyDescent="0.2">
      <c r="D20" s="162"/>
      <c r="E20" s="162"/>
      <c r="F20" s="162"/>
    </row>
    <row r="21" spans="4:6" x14ac:dyDescent="0.2">
      <c r="D21" s="162"/>
      <c r="E21" s="162"/>
      <c r="F21" s="162"/>
    </row>
    <row r="22" spans="4:6" x14ac:dyDescent="0.2">
      <c r="D22" s="162"/>
      <c r="E22" s="162"/>
      <c r="F22" s="162"/>
    </row>
    <row r="23" spans="4:6" x14ac:dyDescent="0.2">
      <c r="D23" s="162"/>
      <c r="E23" s="162"/>
      <c r="F23" s="162"/>
    </row>
    <row r="24" spans="4:6" x14ac:dyDescent="0.2">
      <c r="D24" s="162"/>
      <c r="E24" s="162"/>
      <c r="F24" s="162"/>
    </row>
    <row r="25" spans="4:6" x14ac:dyDescent="0.2">
      <c r="D25" s="162"/>
      <c r="E25" s="162"/>
      <c r="F25" s="162"/>
    </row>
    <row r="26" spans="4:6" x14ac:dyDescent="0.2">
      <c r="D26" s="162"/>
      <c r="E26" s="162"/>
      <c r="F26" s="16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24"/>
  <sheetViews>
    <sheetView workbookViewId="0">
      <selection activeCell="F11" sqref="F11"/>
    </sheetView>
  </sheetViews>
  <sheetFormatPr defaultRowHeight="12.75" x14ac:dyDescent="0.2"/>
  <cols>
    <col min="2" max="2" width="13.7109375" customWidth="1"/>
  </cols>
  <sheetData>
    <row r="4" spans="2:4" x14ac:dyDescent="0.2">
      <c r="B4" t="s">
        <v>10</v>
      </c>
    </row>
    <row r="6" spans="2:4" x14ac:dyDescent="0.2">
      <c r="B6" t="s">
        <v>11</v>
      </c>
      <c r="D6" s="29">
        <f>2500/26/8*6</f>
        <v>72.115384615384613</v>
      </c>
    </row>
    <row r="7" spans="2:4" x14ac:dyDescent="0.2">
      <c r="B7" t="s">
        <v>12</v>
      </c>
      <c r="D7" s="30">
        <v>150</v>
      </c>
    </row>
    <row r="8" spans="2:4" x14ac:dyDescent="0.2">
      <c r="B8" t="s">
        <v>13</v>
      </c>
      <c r="D8" s="31">
        <v>28</v>
      </c>
    </row>
    <row r="10" spans="2:4" x14ac:dyDescent="0.2">
      <c r="D10" s="29">
        <f>SUM(D6:D9)</f>
        <v>250.11538461538461</v>
      </c>
    </row>
    <row r="12" spans="2:4" x14ac:dyDescent="0.2">
      <c r="B12" t="s">
        <v>14</v>
      </c>
      <c r="D12">
        <v>350</v>
      </c>
    </row>
    <row r="18" spans="2:4" x14ac:dyDescent="0.2">
      <c r="B18" t="s">
        <v>11</v>
      </c>
      <c r="D18" s="29">
        <f>2500/26/8*6</f>
        <v>72.115384615384613</v>
      </c>
    </row>
    <row r="19" spans="2:4" x14ac:dyDescent="0.2">
      <c r="B19" t="s">
        <v>12</v>
      </c>
      <c r="D19" s="30">
        <v>150</v>
      </c>
    </row>
    <row r="20" spans="2:4" x14ac:dyDescent="0.2">
      <c r="B20" t="s">
        <v>13</v>
      </c>
      <c r="D20" s="31">
        <f>28*2</f>
        <v>56</v>
      </c>
    </row>
    <row r="22" spans="2:4" x14ac:dyDescent="0.2">
      <c r="D22" s="29">
        <f>SUM(D18:D21)</f>
        <v>278.11538461538464</v>
      </c>
    </row>
    <row r="24" spans="2:4" x14ac:dyDescent="0.2">
      <c r="B24" t="s">
        <v>14</v>
      </c>
      <c r="D24">
        <v>450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3:N62"/>
  <sheetViews>
    <sheetView topLeftCell="A31" zoomScaleNormal="100" workbookViewId="0">
      <selection activeCell="P52" sqref="P52"/>
    </sheetView>
  </sheetViews>
  <sheetFormatPr defaultRowHeight="12.75" x14ac:dyDescent="0.2"/>
  <cols>
    <col min="6" max="8" width="9.5703125" bestFit="1" customWidth="1"/>
    <col min="9" max="9" width="12.42578125" bestFit="1" customWidth="1"/>
    <col min="10" max="10" width="11" bestFit="1" customWidth="1"/>
    <col min="11" max="11" width="12.42578125" bestFit="1" customWidth="1"/>
  </cols>
  <sheetData>
    <row r="3" spans="5:11" x14ac:dyDescent="0.2">
      <c r="J3" s="170">
        <v>0.15</v>
      </c>
    </row>
    <row r="4" spans="5:11" x14ac:dyDescent="0.2">
      <c r="F4" s="160">
        <v>125</v>
      </c>
      <c r="G4" s="160">
        <v>2200</v>
      </c>
      <c r="H4" s="161">
        <v>10.7</v>
      </c>
      <c r="I4" s="162">
        <f>F4*G4*H4</f>
        <v>2942500</v>
      </c>
      <c r="J4" s="163">
        <f>I4*J3</f>
        <v>441375</v>
      </c>
      <c r="K4" s="163">
        <f>I4-J4</f>
        <v>2501125</v>
      </c>
    </row>
    <row r="6" spans="5:11" x14ac:dyDescent="0.2">
      <c r="I6" s="169">
        <f>SUM(I4:I5)</f>
        <v>2942500</v>
      </c>
      <c r="K6" s="163">
        <f>SUM(K4:K5)</f>
        <v>2501125</v>
      </c>
    </row>
    <row r="9" spans="5:11" x14ac:dyDescent="0.2">
      <c r="J9" s="170">
        <v>0.15</v>
      </c>
    </row>
    <row r="10" spans="5:11" x14ac:dyDescent="0.2">
      <c r="E10">
        <v>1000</v>
      </c>
      <c r="F10" s="160">
        <v>83</v>
      </c>
      <c r="G10" s="160">
        <v>2200</v>
      </c>
      <c r="H10" s="162">
        <v>9.3000000000000007</v>
      </c>
      <c r="I10" s="162">
        <f>F10*G10*H10</f>
        <v>1698180.0000000002</v>
      </c>
      <c r="J10" s="163">
        <f>I10*J9</f>
        <v>254727.00000000003</v>
      </c>
      <c r="K10" s="163">
        <f>I10-J10</f>
        <v>1443453.0000000002</v>
      </c>
    </row>
    <row r="11" spans="5:11" x14ac:dyDescent="0.2">
      <c r="E11">
        <v>500</v>
      </c>
      <c r="F11" s="160">
        <v>42</v>
      </c>
      <c r="G11" s="160">
        <v>3200</v>
      </c>
      <c r="H11" s="162">
        <v>9.3000000000000007</v>
      </c>
      <c r="I11" s="162">
        <f>F11*G11*H11</f>
        <v>1249920</v>
      </c>
      <c r="J11" s="163">
        <f>I11*J9</f>
        <v>187488</v>
      </c>
      <c r="K11" s="163">
        <f>I11-J11</f>
        <v>1062432</v>
      </c>
    </row>
    <row r="13" spans="5:11" x14ac:dyDescent="0.2">
      <c r="I13" s="169">
        <f>SUM(I10:I12)</f>
        <v>2948100</v>
      </c>
      <c r="K13" s="163">
        <f>SUM(K10:K12)</f>
        <v>2505885</v>
      </c>
    </row>
    <row r="15" spans="5:11" x14ac:dyDescent="0.2">
      <c r="J15" s="170">
        <v>0.15</v>
      </c>
    </row>
    <row r="16" spans="5:11" x14ac:dyDescent="0.2">
      <c r="F16" s="160"/>
      <c r="G16" s="160">
        <v>2200</v>
      </c>
      <c r="H16" s="162">
        <v>9.3000000000000007</v>
      </c>
      <c r="I16" s="162">
        <v>5216650</v>
      </c>
      <c r="J16" s="163">
        <v>570000</v>
      </c>
      <c r="K16" s="163">
        <f>I16-J16</f>
        <v>4646650</v>
      </c>
    </row>
    <row r="17" spans="5:14" ht="13.5" thickBot="1" x14ac:dyDescent="0.25">
      <c r="F17" s="160"/>
      <c r="G17" s="160"/>
      <c r="H17" s="162"/>
      <c r="I17" s="162"/>
      <c r="J17" s="163"/>
      <c r="K17" s="163"/>
    </row>
    <row r="18" spans="5:14" x14ac:dyDescent="0.2">
      <c r="E18" s="171"/>
      <c r="F18" s="172"/>
      <c r="G18" s="172"/>
      <c r="H18" s="172"/>
      <c r="I18" s="172"/>
      <c r="J18" s="172"/>
      <c r="K18" s="172"/>
      <c r="L18" s="173"/>
    </row>
    <row r="19" spans="5:14" x14ac:dyDescent="0.2">
      <c r="E19" s="174">
        <v>400</v>
      </c>
      <c r="F19" s="30">
        <f>E19/12</f>
        <v>33.333333333333336</v>
      </c>
      <c r="G19" s="30">
        <v>2900</v>
      </c>
      <c r="H19" s="30">
        <v>6.8</v>
      </c>
      <c r="I19" s="175">
        <f>F19*G19*H19</f>
        <v>657333.33333333337</v>
      </c>
      <c r="J19" s="175">
        <f>I19*0.15</f>
        <v>98600</v>
      </c>
      <c r="K19" s="175">
        <f>I19-J19</f>
        <v>558733.33333333337</v>
      </c>
      <c r="L19" s="176"/>
      <c r="M19" s="162"/>
      <c r="N19" s="162"/>
    </row>
    <row r="20" spans="5:14" x14ac:dyDescent="0.2">
      <c r="E20" s="174">
        <v>300</v>
      </c>
      <c r="F20" s="30">
        <f t="shared" ref="F20:F22" si="0">E20/12</f>
        <v>25</v>
      </c>
      <c r="G20" s="30">
        <v>2500</v>
      </c>
      <c r="H20" s="30">
        <v>6.8</v>
      </c>
      <c r="I20" s="175">
        <f t="shared" ref="I20:I21" si="1">F20*G20*H20</f>
        <v>425000</v>
      </c>
      <c r="J20" s="175">
        <f t="shared" ref="J20:J22" si="2">I20*0.15</f>
        <v>63750</v>
      </c>
      <c r="K20" s="175">
        <f t="shared" ref="K20:K22" si="3">I20-J20</f>
        <v>361250</v>
      </c>
      <c r="L20" s="176"/>
      <c r="M20" s="162"/>
      <c r="N20" s="162"/>
    </row>
    <row r="21" spans="5:14" x14ac:dyDescent="0.2">
      <c r="E21" s="174">
        <v>200</v>
      </c>
      <c r="F21" s="30">
        <f t="shared" si="0"/>
        <v>16.666666666666668</v>
      </c>
      <c r="G21" s="30">
        <v>2400</v>
      </c>
      <c r="H21" s="30">
        <v>6.8</v>
      </c>
      <c r="I21" s="175">
        <f t="shared" si="1"/>
        <v>272000</v>
      </c>
      <c r="J21" s="175">
        <f t="shared" si="2"/>
        <v>40800</v>
      </c>
      <c r="K21" s="175">
        <f t="shared" si="3"/>
        <v>231200</v>
      </c>
      <c r="L21" s="176"/>
      <c r="M21" s="162"/>
      <c r="N21" s="162"/>
    </row>
    <row r="22" spans="5:14" x14ac:dyDescent="0.2">
      <c r="E22" s="174">
        <v>100</v>
      </c>
      <c r="F22" s="30">
        <f t="shared" si="0"/>
        <v>8.3333333333333339</v>
      </c>
      <c r="G22" s="30">
        <v>2200</v>
      </c>
      <c r="H22" s="30">
        <v>6.8</v>
      </c>
      <c r="I22" s="175">
        <f>F22*G22*H22</f>
        <v>124666.66666666669</v>
      </c>
      <c r="J22" s="175">
        <f t="shared" si="2"/>
        <v>18700.000000000004</v>
      </c>
      <c r="K22" s="175">
        <f t="shared" si="3"/>
        <v>105966.66666666669</v>
      </c>
      <c r="L22" s="176"/>
      <c r="M22" s="162"/>
      <c r="N22" s="162"/>
    </row>
    <row r="23" spans="5:14" x14ac:dyDescent="0.2">
      <c r="E23" s="174"/>
      <c r="F23" s="30"/>
      <c r="G23" s="30"/>
      <c r="H23" s="30">
        <v>6.8</v>
      </c>
      <c r="I23" s="175"/>
      <c r="J23" s="175"/>
      <c r="K23" s="175"/>
      <c r="L23" s="176"/>
      <c r="M23" s="162"/>
      <c r="N23" s="162"/>
    </row>
    <row r="24" spans="5:14" x14ac:dyDescent="0.2">
      <c r="E24" s="174"/>
      <c r="F24" s="30"/>
      <c r="G24" s="30"/>
      <c r="H24" s="30">
        <v>6.8</v>
      </c>
      <c r="I24" s="181">
        <f t="shared" ref="I24:K24" si="4">SUM(I19:I23)</f>
        <v>1479000.0000000002</v>
      </c>
      <c r="J24" s="181">
        <f t="shared" si="4"/>
        <v>221850</v>
      </c>
      <c r="K24" s="181">
        <f t="shared" si="4"/>
        <v>1257150.0000000002</v>
      </c>
      <c r="L24" s="176"/>
      <c r="M24" s="162"/>
      <c r="N24" s="162"/>
    </row>
    <row r="25" spans="5:14" x14ac:dyDescent="0.2">
      <c r="E25" s="174"/>
      <c r="F25" s="30"/>
      <c r="G25" s="30"/>
      <c r="H25" s="30">
        <v>6.8</v>
      </c>
      <c r="I25" s="30"/>
      <c r="J25" s="30"/>
      <c r="K25" s="30"/>
      <c r="L25" s="177"/>
    </row>
    <row r="26" spans="5:14" x14ac:dyDescent="0.2">
      <c r="E26" s="174">
        <v>200</v>
      </c>
      <c r="F26" s="30">
        <f>E26/12</f>
        <v>16.666666666666668</v>
      </c>
      <c r="G26" s="30">
        <v>4450</v>
      </c>
      <c r="H26" s="30">
        <v>6.8</v>
      </c>
      <c r="I26" s="175">
        <f>F26*G26*H26</f>
        <v>504333.33333333337</v>
      </c>
      <c r="J26" s="175">
        <f>I26*0.15</f>
        <v>75650</v>
      </c>
      <c r="K26" s="175">
        <f>I26-J26</f>
        <v>428683.33333333337</v>
      </c>
      <c r="L26" s="177"/>
    </row>
    <row r="27" spans="5:14" x14ac:dyDescent="0.2">
      <c r="E27" s="174">
        <v>150</v>
      </c>
      <c r="F27" s="30">
        <f t="shared" ref="F27:F29" si="5">E27/12</f>
        <v>12.5</v>
      </c>
      <c r="G27" s="30">
        <v>3800</v>
      </c>
      <c r="H27" s="30">
        <v>6.8</v>
      </c>
      <c r="I27" s="175">
        <f t="shared" ref="I27:I29" si="6">F27*G27*H27</f>
        <v>323000</v>
      </c>
      <c r="J27" s="175">
        <f>I27*0.15</f>
        <v>48450</v>
      </c>
      <c r="K27" s="175">
        <f t="shared" ref="K27:K29" si="7">I27-J27</f>
        <v>274550</v>
      </c>
      <c r="L27" s="177"/>
    </row>
    <row r="28" spans="5:14" x14ac:dyDescent="0.2">
      <c r="E28" s="174">
        <v>100</v>
      </c>
      <c r="F28" s="30">
        <f t="shared" si="5"/>
        <v>8.3333333333333339</v>
      </c>
      <c r="G28" s="30">
        <v>3550</v>
      </c>
      <c r="H28" s="30">
        <v>6.8</v>
      </c>
      <c r="I28" s="175">
        <f t="shared" si="6"/>
        <v>201166.66666666669</v>
      </c>
      <c r="J28" s="175">
        <f>I28*0.15</f>
        <v>30175</v>
      </c>
      <c r="K28" s="175">
        <f t="shared" si="7"/>
        <v>170991.66666666669</v>
      </c>
      <c r="L28" s="177"/>
    </row>
    <row r="29" spans="5:14" x14ac:dyDescent="0.2">
      <c r="E29" s="174">
        <v>50</v>
      </c>
      <c r="F29" s="30">
        <f t="shared" si="5"/>
        <v>4.166666666666667</v>
      </c>
      <c r="G29" s="30">
        <v>3200</v>
      </c>
      <c r="H29" s="30">
        <v>6.8</v>
      </c>
      <c r="I29" s="175">
        <f t="shared" si="6"/>
        <v>90666.666666666672</v>
      </c>
      <c r="J29" s="175">
        <f>I29*0.15</f>
        <v>13600</v>
      </c>
      <c r="K29" s="175">
        <f t="shared" si="7"/>
        <v>77066.666666666672</v>
      </c>
      <c r="L29" s="177"/>
    </row>
    <row r="30" spans="5:14" x14ac:dyDescent="0.2">
      <c r="E30" s="174"/>
      <c r="F30" s="30"/>
      <c r="G30" s="30"/>
      <c r="H30" s="30">
        <v>6.8</v>
      </c>
      <c r="I30" s="175"/>
      <c r="J30" s="175"/>
      <c r="K30" s="175"/>
      <c r="L30" s="177"/>
    </row>
    <row r="31" spans="5:14" x14ac:dyDescent="0.2">
      <c r="E31" s="174"/>
      <c r="F31" s="30"/>
      <c r="G31" s="30"/>
      <c r="H31" s="30">
        <v>6.8</v>
      </c>
      <c r="I31" s="181">
        <f t="shared" ref="I31" si="8">SUM(I26:I30)</f>
        <v>1119166.6666666667</v>
      </c>
      <c r="J31" s="181">
        <f t="shared" ref="J31" si="9">SUM(J26:J30)</f>
        <v>167875</v>
      </c>
      <c r="K31" s="181">
        <f t="shared" ref="K31" si="10">SUM(K26:K30)</f>
        <v>951291.66666666663</v>
      </c>
      <c r="L31" s="177"/>
    </row>
    <row r="32" spans="5:14" x14ac:dyDescent="0.2">
      <c r="E32" s="174"/>
      <c r="F32" s="30"/>
      <c r="G32" s="30"/>
      <c r="H32" s="30">
        <v>6.8</v>
      </c>
      <c r="I32" s="175"/>
      <c r="J32" s="175"/>
      <c r="K32" s="175"/>
      <c r="L32" s="177"/>
    </row>
    <row r="33" spans="5:12" x14ac:dyDescent="0.2">
      <c r="E33" s="174">
        <v>150</v>
      </c>
      <c r="F33" s="30">
        <f>E33/12</f>
        <v>12.5</v>
      </c>
      <c r="G33" s="30">
        <v>200</v>
      </c>
      <c r="H33" s="30">
        <v>6.8</v>
      </c>
      <c r="I33" s="175">
        <f>F33*G33*H33</f>
        <v>17000</v>
      </c>
      <c r="J33" s="175">
        <v>0</v>
      </c>
      <c r="K33" s="175">
        <f t="shared" ref="K33:K41" si="11">I33-J33</f>
        <v>17000</v>
      </c>
      <c r="L33" s="177"/>
    </row>
    <row r="34" spans="5:12" x14ac:dyDescent="0.2">
      <c r="E34" s="174">
        <v>100</v>
      </c>
      <c r="F34" s="30">
        <f t="shared" ref="F34:F41" si="12">E34/12</f>
        <v>8.3333333333333339</v>
      </c>
      <c r="G34" s="30">
        <v>500</v>
      </c>
      <c r="H34" s="30">
        <v>6.8</v>
      </c>
      <c r="I34" s="175">
        <f t="shared" ref="I34:I41" si="13">F34*G34*H34</f>
        <v>28333.333333333336</v>
      </c>
      <c r="J34" s="175">
        <v>0</v>
      </c>
      <c r="K34" s="175">
        <f t="shared" si="11"/>
        <v>28333.333333333336</v>
      </c>
      <c r="L34" s="177"/>
    </row>
    <row r="35" spans="5:12" x14ac:dyDescent="0.2">
      <c r="E35" s="174">
        <v>30</v>
      </c>
      <c r="F35" s="30">
        <f t="shared" si="12"/>
        <v>2.5</v>
      </c>
      <c r="G35" s="30">
        <v>350</v>
      </c>
      <c r="H35" s="30">
        <v>6.8</v>
      </c>
      <c r="I35" s="175">
        <f t="shared" si="13"/>
        <v>5950</v>
      </c>
      <c r="J35" s="175">
        <v>0</v>
      </c>
      <c r="K35" s="175">
        <f t="shared" si="11"/>
        <v>5950</v>
      </c>
      <c r="L35" s="177"/>
    </row>
    <row r="36" spans="5:12" x14ac:dyDescent="0.2">
      <c r="E36" s="174">
        <v>300</v>
      </c>
      <c r="F36" s="30">
        <f t="shared" si="12"/>
        <v>25</v>
      </c>
      <c r="G36" s="30">
        <v>150</v>
      </c>
      <c r="H36" s="30">
        <v>6.8</v>
      </c>
      <c r="I36" s="175">
        <f t="shared" si="13"/>
        <v>25500</v>
      </c>
      <c r="J36" s="175">
        <v>0</v>
      </c>
      <c r="K36" s="175">
        <f t="shared" si="11"/>
        <v>25500</v>
      </c>
      <c r="L36" s="177"/>
    </row>
    <row r="37" spans="5:12" x14ac:dyDescent="0.2">
      <c r="E37" s="174">
        <v>120</v>
      </c>
      <c r="F37" s="30">
        <f t="shared" si="12"/>
        <v>10</v>
      </c>
      <c r="G37" s="30">
        <v>180</v>
      </c>
      <c r="H37" s="30">
        <v>6.8</v>
      </c>
      <c r="I37" s="175">
        <f t="shared" si="13"/>
        <v>12240</v>
      </c>
      <c r="J37" s="175">
        <v>0</v>
      </c>
      <c r="K37" s="175">
        <f t="shared" si="11"/>
        <v>12240</v>
      </c>
      <c r="L37" s="177"/>
    </row>
    <row r="38" spans="5:12" x14ac:dyDescent="0.2">
      <c r="E38" s="174">
        <v>120</v>
      </c>
      <c r="F38" s="30">
        <f t="shared" si="12"/>
        <v>10</v>
      </c>
      <c r="G38" s="30">
        <v>50</v>
      </c>
      <c r="H38" s="30">
        <v>6.8</v>
      </c>
      <c r="I38" s="175">
        <f t="shared" si="13"/>
        <v>3400</v>
      </c>
      <c r="J38" s="175">
        <v>0</v>
      </c>
      <c r="K38" s="175">
        <f t="shared" si="11"/>
        <v>3400</v>
      </c>
      <c r="L38" s="177"/>
    </row>
    <row r="39" spans="5:12" x14ac:dyDescent="0.2">
      <c r="E39" s="174">
        <v>120</v>
      </c>
      <c r="F39" s="30">
        <f t="shared" si="12"/>
        <v>10</v>
      </c>
      <c r="G39" s="30">
        <v>450</v>
      </c>
      <c r="H39" s="30">
        <v>6.8</v>
      </c>
      <c r="I39" s="175">
        <f t="shared" si="13"/>
        <v>30600</v>
      </c>
      <c r="J39" s="175">
        <v>0</v>
      </c>
      <c r="K39" s="175">
        <f t="shared" si="11"/>
        <v>30600</v>
      </c>
      <c r="L39" s="177"/>
    </row>
    <row r="40" spans="5:12" x14ac:dyDescent="0.2">
      <c r="E40" s="174">
        <v>100</v>
      </c>
      <c r="F40" s="30">
        <f t="shared" si="12"/>
        <v>8.3333333333333339</v>
      </c>
      <c r="G40" s="30">
        <v>100</v>
      </c>
      <c r="H40" s="30">
        <v>6.8</v>
      </c>
      <c r="I40" s="175">
        <f t="shared" si="13"/>
        <v>5666.666666666667</v>
      </c>
      <c r="J40" s="175">
        <v>0</v>
      </c>
      <c r="K40" s="175">
        <f t="shared" si="11"/>
        <v>5666.666666666667</v>
      </c>
      <c r="L40" s="177"/>
    </row>
    <row r="41" spans="5:12" x14ac:dyDescent="0.2">
      <c r="E41" s="174">
        <v>200</v>
      </c>
      <c r="F41" s="30">
        <f t="shared" si="12"/>
        <v>16.666666666666668</v>
      </c>
      <c r="G41" s="30">
        <v>600</v>
      </c>
      <c r="H41" s="30">
        <v>6.8</v>
      </c>
      <c r="I41" s="175">
        <f t="shared" si="13"/>
        <v>68000</v>
      </c>
      <c r="J41" s="175">
        <v>0</v>
      </c>
      <c r="K41" s="175">
        <f t="shared" si="11"/>
        <v>68000</v>
      </c>
      <c r="L41" s="177"/>
    </row>
    <row r="42" spans="5:12" x14ac:dyDescent="0.2">
      <c r="E42" s="174"/>
      <c r="F42" s="30"/>
      <c r="G42" s="30"/>
      <c r="H42" s="30">
        <v>6.8</v>
      </c>
      <c r="I42" s="175"/>
      <c r="J42" s="175"/>
      <c r="K42" s="175"/>
      <c r="L42" s="177"/>
    </row>
    <row r="43" spans="5:12" x14ac:dyDescent="0.2">
      <c r="E43" s="174"/>
      <c r="F43" s="30"/>
      <c r="G43" s="30"/>
      <c r="H43" s="30">
        <v>6.8</v>
      </c>
      <c r="I43" s="181">
        <f t="shared" ref="I43:J43" si="14">SUM(I33:I42)</f>
        <v>196690</v>
      </c>
      <c r="J43" s="175">
        <f t="shared" si="14"/>
        <v>0</v>
      </c>
      <c r="K43" s="181">
        <f>SUM(K33:K42)</f>
        <v>196690</v>
      </c>
      <c r="L43" s="177"/>
    </row>
    <row r="44" spans="5:12" x14ac:dyDescent="0.2">
      <c r="E44" s="174"/>
      <c r="F44" s="30"/>
      <c r="G44" s="30"/>
      <c r="H44" s="30">
        <v>6.8</v>
      </c>
      <c r="I44" s="175"/>
      <c r="J44" s="175"/>
      <c r="K44" s="175"/>
      <c r="L44" s="177"/>
    </row>
    <row r="45" spans="5:12" x14ac:dyDescent="0.2">
      <c r="E45" s="174">
        <v>75</v>
      </c>
      <c r="F45" s="30">
        <f>E45/12</f>
        <v>6.25</v>
      </c>
      <c r="G45" s="30">
        <v>350</v>
      </c>
      <c r="H45" s="30">
        <v>6.8</v>
      </c>
      <c r="I45" s="175">
        <f>F45*G45*H45</f>
        <v>14875</v>
      </c>
      <c r="J45" s="175">
        <v>0</v>
      </c>
      <c r="K45" s="175">
        <f t="shared" ref="K45:K53" si="15">I45-J45</f>
        <v>14875</v>
      </c>
      <c r="L45" s="177"/>
    </row>
    <row r="46" spans="5:12" x14ac:dyDescent="0.2">
      <c r="E46" s="174">
        <v>50</v>
      </c>
      <c r="F46" s="30">
        <f t="shared" ref="F46:F53" si="16">E46/12</f>
        <v>4.166666666666667</v>
      </c>
      <c r="G46" s="30">
        <v>500</v>
      </c>
      <c r="H46" s="30">
        <v>6.8</v>
      </c>
      <c r="I46" s="175">
        <f t="shared" ref="I46:I53" si="17">F46*G46*H46</f>
        <v>14166.666666666668</v>
      </c>
      <c r="J46" s="175">
        <v>0</v>
      </c>
      <c r="K46" s="175">
        <f t="shared" si="15"/>
        <v>14166.666666666668</v>
      </c>
      <c r="L46" s="177"/>
    </row>
    <row r="47" spans="5:12" x14ac:dyDescent="0.2">
      <c r="E47" s="174">
        <v>15</v>
      </c>
      <c r="F47" s="30">
        <f t="shared" si="16"/>
        <v>1.25</v>
      </c>
      <c r="G47" s="30">
        <v>550</v>
      </c>
      <c r="H47" s="30">
        <v>6.8</v>
      </c>
      <c r="I47" s="175">
        <f t="shared" si="17"/>
        <v>4675</v>
      </c>
      <c r="J47" s="175">
        <v>0</v>
      </c>
      <c r="K47" s="175">
        <f t="shared" si="15"/>
        <v>4675</v>
      </c>
      <c r="L47" s="177"/>
    </row>
    <row r="48" spans="5:12" x14ac:dyDescent="0.2">
      <c r="E48" s="174">
        <v>150</v>
      </c>
      <c r="F48" s="30">
        <f t="shared" si="16"/>
        <v>12.5</v>
      </c>
      <c r="G48" s="30">
        <v>150</v>
      </c>
      <c r="H48" s="30">
        <v>6.8</v>
      </c>
      <c r="I48" s="175">
        <f t="shared" si="17"/>
        <v>12750</v>
      </c>
      <c r="J48" s="175">
        <v>0</v>
      </c>
      <c r="K48" s="175">
        <f t="shared" si="15"/>
        <v>12750</v>
      </c>
      <c r="L48" s="177"/>
    </row>
    <row r="49" spans="5:12" x14ac:dyDescent="0.2">
      <c r="E49" s="174">
        <v>60</v>
      </c>
      <c r="F49" s="30">
        <f t="shared" si="16"/>
        <v>5</v>
      </c>
      <c r="G49" s="30">
        <v>280</v>
      </c>
      <c r="H49" s="30">
        <v>6.8</v>
      </c>
      <c r="I49" s="175">
        <f t="shared" si="17"/>
        <v>9520</v>
      </c>
      <c r="J49" s="175">
        <v>0</v>
      </c>
      <c r="K49" s="175">
        <f t="shared" si="15"/>
        <v>9520</v>
      </c>
      <c r="L49" s="177"/>
    </row>
    <row r="50" spans="5:12" x14ac:dyDescent="0.2">
      <c r="E50" s="174">
        <v>60</v>
      </c>
      <c r="F50" s="30">
        <f t="shared" si="16"/>
        <v>5</v>
      </c>
      <c r="G50" s="30">
        <v>50</v>
      </c>
      <c r="H50" s="30">
        <v>6.8</v>
      </c>
      <c r="I50" s="175">
        <f t="shared" si="17"/>
        <v>1700</v>
      </c>
      <c r="J50" s="175">
        <v>0</v>
      </c>
      <c r="K50" s="175">
        <f t="shared" si="15"/>
        <v>1700</v>
      </c>
      <c r="L50" s="177"/>
    </row>
    <row r="51" spans="5:12" x14ac:dyDescent="0.2">
      <c r="E51" s="174">
        <v>60</v>
      </c>
      <c r="F51" s="30">
        <f t="shared" si="16"/>
        <v>5</v>
      </c>
      <c r="G51" s="30">
        <v>750</v>
      </c>
      <c r="H51" s="30">
        <v>6.8</v>
      </c>
      <c r="I51" s="175">
        <f t="shared" si="17"/>
        <v>25500</v>
      </c>
      <c r="J51" s="175">
        <v>0</v>
      </c>
      <c r="K51" s="175">
        <f t="shared" si="15"/>
        <v>25500</v>
      </c>
      <c r="L51" s="177"/>
    </row>
    <row r="52" spans="5:12" x14ac:dyDescent="0.2">
      <c r="E52" s="174">
        <v>50</v>
      </c>
      <c r="F52" s="30">
        <f t="shared" si="16"/>
        <v>4.166666666666667</v>
      </c>
      <c r="G52" s="30">
        <v>100</v>
      </c>
      <c r="H52" s="30">
        <v>6.8</v>
      </c>
      <c r="I52" s="175">
        <f t="shared" si="17"/>
        <v>2833.3333333333335</v>
      </c>
      <c r="J52" s="175">
        <v>0</v>
      </c>
      <c r="K52" s="175">
        <f t="shared" si="15"/>
        <v>2833.3333333333335</v>
      </c>
      <c r="L52" s="177"/>
    </row>
    <row r="53" spans="5:12" x14ac:dyDescent="0.2">
      <c r="E53" s="174">
        <v>100</v>
      </c>
      <c r="F53" s="30">
        <f t="shared" si="16"/>
        <v>8.3333333333333339</v>
      </c>
      <c r="G53" s="30">
        <v>600</v>
      </c>
      <c r="H53" s="30">
        <v>6.8</v>
      </c>
      <c r="I53" s="175">
        <f t="shared" si="17"/>
        <v>34000</v>
      </c>
      <c r="J53" s="175">
        <v>0</v>
      </c>
      <c r="K53" s="175">
        <f t="shared" si="15"/>
        <v>34000</v>
      </c>
      <c r="L53" s="177"/>
    </row>
    <row r="54" spans="5:12" x14ac:dyDescent="0.2">
      <c r="E54" s="174"/>
      <c r="F54" s="30"/>
      <c r="G54" s="30"/>
      <c r="H54" s="30"/>
      <c r="I54" s="175"/>
      <c r="J54" s="175"/>
      <c r="K54" s="175"/>
      <c r="L54" s="177"/>
    </row>
    <row r="55" spans="5:12" x14ac:dyDescent="0.2">
      <c r="E55" s="174"/>
      <c r="F55" s="30"/>
      <c r="G55" s="30"/>
      <c r="H55" s="30"/>
      <c r="I55" s="181">
        <f t="shared" ref="I55:J55" si="18">SUM(I45:I54)</f>
        <v>120020</v>
      </c>
      <c r="J55" s="175">
        <f t="shared" si="18"/>
        <v>0</v>
      </c>
      <c r="K55" s="181">
        <f>SUM(K45:K54)</f>
        <v>120020</v>
      </c>
      <c r="L55" s="177"/>
    </row>
    <row r="56" spans="5:12" x14ac:dyDescent="0.2">
      <c r="E56" s="174"/>
      <c r="F56" s="30"/>
      <c r="G56" s="30"/>
      <c r="H56" s="30"/>
      <c r="I56" s="175"/>
      <c r="J56" s="175"/>
      <c r="K56" s="175"/>
      <c r="L56" s="177"/>
    </row>
    <row r="57" spans="5:12" x14ac:dyDescent="0.2">
      <c r="E57" s="174"/>
      <c r="F57" s="30"/>
      <c r="G57" s="30"/>
      <c r="H57" s="30"/>
      <c r="I57" s="175"/>
      <c r="J57" s="175"/>
      <c r="K57" s="175"/>
      <c r="L57" s="177"/>
    </row>
    <row r="58" spans="5:12" x14ac:dyDescent="0.2">
      <c r="E58" s="174"/>
      <c r="F58" s="30"/>
      <c r="G58" s="30"/>
      <c r="H58" s="30"/>
      <c r="I58" s="175"/>
      <c r="J58" s="175"/>
      <c r="K58" s="175"/>
      <c r="L58" s="177"/>
    </row>
    <row r="59" spans="5:12" x14ac:dyDescent="0.2">
      <c r="E59" s="174"/>
      <c r="F59" s="30"/>
      <c r="G59" s="30"/>
      <c r="H59" s="30"/>
      <c r="I59" s="175"/>
      <c r="J59" s="175"/>
      <c r="K59" s="175"/>
      <c r="L59" s="177"/>
    </row>
    <row r="60" spans="5:12" ht="13.5" thickBot="1" x14ac:dyDescent="0.25">
      <c r="E60" s="178"/>
      <c r="F60" s="179"/>
      <c r="G60" s="179"/>
      <c r="H60" s="179"/>
      <c r="I60" s="179"/>
      <c r="J60" s="179"/>
      <c r="K60" s="179"/>
      <c r="L60" s="180"/>
    </row>
    <row r="62" spans="5:12" x14ac:dyDescent="0.2">
      <c r="I62" s="163">
        <f>SUM(I24+I31+I43+I55)</f>
        <v>2914876.666666667</v>
      </c>
      <c r="J62" s="163">
        <f>SUM(J24+J31+J43+J55)</f>
        <v>389725</v>
      </c>
      <c r="K62" s="163">
        <f>SUM(K24+K31+K43+K55)</f>
        <v>2525151.666666667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E16"/>
  <sheetViews>
    <sheetView workbookViewId="0">
      <selection activeCell="H25" sqref="H25"/>
    </sheetView>
  </sheetViews>
  <sheetFormatPr defaultRowHeight="12.75" x14ac:dyDescent="0.2"/>
  <cols>
    <col min="1" max="1" width="3.140625" customWidth="1"/>
  </cols>
  <sheetData>
    <row r="4" spans="2:5" x14ac:dyDescent="0.2">
      <c r="B4" s="244" t="s">
        <v>98</v>
      </c>
      <c r="E4" s="244" t="s">
        <v>102</v>
      </c>
    </row>
    <row r="6" spans="2:5" x14ac:dyDescent="0.2">
      <c r="B6" t="s">
        <v>99</v>
      </c>
      <c r="E6" t="s">
        <v>106</v>
      </c>
    </row>
    <row r="8" spans="2:5" x14ac:dyDescent="0.2">
      <c r="B8" t="s">
        <v>100</v>
      </c>
      <c r="E8" t="s">
        <v>107</v>
      </c>
    </row>
    <row r="10" spans="2:5" x14ac:dyDescent="0.2">
      <c r="B10" t="s">
        <v>101</v>
      </c>
      <c r="E10" t="s">
        <v>108</v>
      </c>
    </row>
    <row r="14" spans="2:5" x14ac:dyDescent="0.2">
      <c r="B14" t="s">
        <v>103</v>
      </c>
      <c r="E14" t="s">
        <v>109</v>
      </c>
    </row>
    <row r="16" spans="2:5" x14ac:dyDescent="0.2">
      <c r="B16" t="s">
        <v>104</v>
      </c>
      <c r="E16" t="s">
        <v>105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4"/>
  <sheetViews>
    <sheetView workbookViewId="0">
      <selection activeCell="C16" sqref="C16"/>
    </sheetView>
  </sheetViews>
  <sheetFormatPr defaultRowHeight="12.75" x14ac:dyDescent="0.2"/>
  <cols>
    <col min="2" max="2" width="31.5703125" customWidth="1"/>
    <col min="3" max="3" width="14.42578125" customWidth="1"/>
    <col min="4" max="4" width="31.85546875" customWidth="1"/>
    <col min="5" max="5" width="15" customWidth="1"/>
  </cols>
  <sheetData>
    <row r="2" spans="2:5" ht="15" x14ac:dyDescent="0.25">
      <c r="B2" s="435" t="s">
        <v>181</v>
      </c>
      <c r="C2" s="435"/>
      <c r="D2" s="435" t="s">
        <v>182</v>
      </c>
      <c r="E2" s="435"/>
    </row>
    <row r="3" spans="2:5" ht="15" x14ac:dyDescent="0.25">
      <c r="B3" s="424" t="s">
        <v>5</v>
      </c>
      <c r="C3" s="424" t="s">
        <v>3</v>
      </c>
      <c r="D3" s="424" t="s">
        <v>5</v>
      </c>
      <c r="E3" s="424" t="s">
        <v>3</v>
      </c>
    </row>
    <row r="4" spans="2:5" ht="15" x14ac:dyDescent="0.25">
      <c r="B4" s="425" t="s">
        <v>0</v>
      </c>
      <c r="C4" s="426">
        <v>200</v>
      </c>
      <c r="D4" s="425" t="s">
        <v>0</v>
      </c>
      <c r="E4" s="426">
        <v>350</v>
      </c>
    </row>
    <row r="5" spans="2:5" ht="15" x14ac:dyDescent="0.25">
      <c r="B5" s="425" t="s">
        <v>16</v>
      </c>
      <c r="C5" s="427">
        <v>500</v>
      </c>
      <c r="D5" s="425" t="s">
        <v>16</v>
      </c>
      <c r="E5" s="427">
        <v>500</v>
      </c>
    </row>
    <row r="6" spans="2:5" ht="15" x14ac:dyDescent="0.25">
      <c r="B6" s="428" t="s">
        <v>44</v>
      </c>
      <c r="C6" s="429">
        <v>350</v>
      </c>
      <c r="D6" s="428" t="s">
        <v>46</v>
      </c>
      <c r="E6" s="429">
        <v>550</v>
      </c>
    </row>
    <row r="7" spans="2:5" ht="15" x14ac:dyDescent="0.25">
      <c r="B7" s="428" t="s">
        <v>7</v>
      </c>
      <c r="C7" s="429">
        <v>180</v>
      </c>
      <c r="D7" s="428" t="s">
        <v>7</v>
      </c>
      <c r="E7" s="429">
        <v>280</v>
      </c>
    </row>
    <row r="8" spans="2:5" ht="15" x14ac:dyDescent="0.25">
      <c r="B8" s="428" t="s">
        <v>17</v>
      </c>
      <c r="C8" s="430">
        <v>50</v>
      </c>
      <c r="D8" s="428" t="s">
        <v>17</v>
      </c>
      <c r="E8" s="430">
        <v>50</v>
      </c>
    </row>
    <row r="9" spans="2:5" ht="15" x14ac:dyDescent="0.25">
      <c r="B9" s="431" t="s">
        <v>116</v>
      </c>
      <c r="C9" s="432">
        <v>450</v>
      </c>
      <c r="D9" s="431" t="s">
        <v>116</v>
      </c>
      <c r="E9" s="432">
        <v>750</v>
      </c>
    </row>
    <row r="10" spans="2:5" ht="15" x14ac:dyDescent="0.25">
      <c r="B10" s="433" t="s">
        <v>22</v>
      </c>
      <c r="C10" s="434"/>
      <c r="D10" s="433" t="s">
        <v>22</v>
      </c>
      <c r="E10" s="434"/>
    </row>
    <row r="11" spans="2:5" ht="15" x14ac:dyDescent="0.25">
      <c r="B11" s="433" t="s">
        <v>18</v>
      </c>
      <c r="C11" s="434"/>
      <c r="D11" s="433" t="s">
        <v>18</v>
      </c>
      <c r="E11" s="434"/>
    </row>
    <row r="12" spans="2:5" ht="15" x14ac:dyDescent="0.25">
      <c r="B12" s="433" t="s">
        <v>21</v>
      </c>
      <c r="C12" s="434"/>
      <c r="D12" s="433" t="s">
        <v>21</v>
      </c>
      <c r="E12" s="434"/>
    </row>
    <row r="13" spans="2:5" ht="15" x14ac:dyDescent="0.25">
      <c r="B13" s="428" t="s">
        <v>23</v>
      </c>
      <c r="C13" s="429">
        <v>1050</v>
      </c>
      <c r="D13" s="428" t="s">
        <v>23</v>
      </c>
      <c r="E13" s="429">
        <v>1150</v>
      </c>
    </row>
    <row r="14" spans="2:5" ht="15" x14ac:dyDescent="0.25">
      <c r="B14" s="428" t="s">
        <v>47</v>
      </c>
      <c r="C14" s="429">
        <v>100</v>
      </c>
      <c r="D14" s="428" t="s">
        <v>47</v>
      </c>
      <c r="E14" s="429">
        <v>100</v>
      </c>
    </row>
  </sheetData>
  <mergeCells count="2">
    <mergeCell ref="B2:C2"/>
    <mergeCell ref="D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for Dist_SPS</vt:lpstr>
      <vt:lpstr>S 1000-M 500</vt:lpstr>
      <vt:lpstr>S1 1500-M 700</vt:lpstr>
      <vt:lpstr>1st year</vt:lpstr>
      <vt:lpstr>Sheet3</vt:lpstr>
      <vt:lpstr>Sheet2</vt:lpstr>
      <vt:lpstr>Sheet4</vt:lpstr>
      <vt:lpstr>ROI Target</vt:lpstr>
      <vt:lpstr>Sheet1</vt:lpstr>
      <vt:lpstr>'S 1000-M 500'!Print_Area</vt:lpstr>
      <vt:lpstr>'S1 1500-M 700'!Print_Area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</dc:creator>
  <cp:lastModifiedBy>Resource Centre</cp:lastModifiedBy>
  <cp:lastPrinted>2014-08-25T08:48:22Z</cp:lastPrinted>
  <dcterms:created xsi:type="dcterms:W3CDTF">2013-05-15T03:49:26Z</dcterms:created>
  <dcterms:modified xsi:type="dcterms:W3CDTF">2014-09-03T07:58:25Z</dcterms:modified>
</cp:coreProperties>
</file>